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13581441" sheetId="1" r:id="rId1"/>
  </sheets>
  <calcPr calcId="145621"/>
</workbook>
</file>

<file path=xl/calcChain.xml><?xml version="1.0" encoding="utf-8"?>
<calcChain xmlns="http://schemas.openxmlformats.org/spreadsheetml/2006/main">
  <c r="L424" i="1" l="1"/>
  <c r="L110" i="1"/>
  <c r="L148" i="1"/>
  <c r="L232" i="1"/>
  <c r="L231" i="1"/>
  <c r="L230" i="1"/>
  <c r="L165" i="1"/>
  <c r="L180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109" i="1"/>
  <c r="L167" i="1"/>
  <c r="L161" i="1"/>
  <c r="L198" i="1"/>
  <c r="L197" i="1"/>
  <c r="L196" i="1"/>
  <c r="L195" i="1"/>
  <c r="L194" i="1"/>
  <c r="L193" i="1"/>
  <c r="L192" i="1"/>
  <c r="L191" i="1"/>
  <c r="L467" i="1"/>
  <c r="L465" i="1"/>
  <c r="L466" i="1"/>
  <c r="L400" i="1"/>
  <c r="L258" i="1"/>
  <c r="L219" i="1"/>
  <c r="L181" i="1"/>
  <c r="L364" i="1"/>
  <c r="L328" i="1"/>
  <c r="L274" i="1"/>
  <c r="L80" i="1"/>
  <c r="L477" i="1"/>
  <c r="L327" i="1"/>
  <c r="L339" i="1"/>
  <c r="L398" i="1"/>
  <c r="L108" i="1"/>
  <c r="L107" i="1"/>
  <c r="L451" i="1"/>
  <c r="L340" i="1"/>
  <c r="L188" i="1"/>
  <c r="L187" i="1"/>
  <c r="L186" i="1"/>
  <c r="L352" i="1"/>
  <c r="L349" i="1"/>
  <c r="L348" i="1"/>
  <c r="L351" i="1"/>
  <c r="L350" i="1"/>
  <c r="L366" i="1"/>
  <c r="L84" i="1"/>
  <c r="L85" i="1"/>
  <c r="L78" i="1"/>
  <c r="L185" i="1"/>
  <c r="L396" i="1"/>
  <c r="L223" i="1"/>
  <c r="L220" i="1"/>
  <c r="L222" i="1"/>
  <c r="L221" i="1"/>
  <c r="L76" i="1"/>
  <c r="L338" i="1"/>
  <c r="L337" i="1"/>
  <c r="L268" i="1"/>
  <c r="L395" i="1"/>
  <c r="L346" i="1"/>
  <c r="L341" i="1"/>
  <c r="L345" i="1"/>
  <c r="L344" i="1"/>
  <c r="L347" i="1"/>
  <c r="L343" i="1"/>
  <c r="L342" i="1"/>
  <c r="L58" i="1"/>
  <c r="L355" i="1"/>
  <c r="L354" i="1"/>
  <c r="L353" i="1"/>
  <c r="L94" i="1"/>
  <c r="L125" i="1"/>
  <c r="L323" i="1"/>
  <c r="L356" i="1"/>
  <c r="L32" i="1"/>
  <c r="L82" i="1"/>
  <c r="L83" i="1"/>
  <c r="L415" i="1"/>
  <c r="L126" i="1"/>
  <c r="L246" i="1"/>
  <c r="L417" i="1"/>
  <c r="L122" i="1"/>
  <c r="L121" i="1"/>
  <c r="L120" i="1"/>
  <c r="L438" i="1"/>
  <c r="L363" i="1"/>
  <c r="L362" i="1"/>
  <c r="L240" i="1"/>
  <c r="L386" i="1"/>
  <c r="L177" i="1"/>
  <c r="L253" i="1"/>
  <c r="L49" i="1"/>
  <c r="L481" i="1"/>
  <c r="L480" i="1"/>
  <c r="L416" i="1"/>
  <c r="L29" i="1"/>
  <c r="L322" i="1"/>
  <c r="L321" i="1"/>
  <c r="L31" i="1"/>
  <c r="L263" i="1"/>
  <c r="L269" i="1"/>
  <c r="L414" i="1"/>
  <c r="L182" i="1"/>
  <c r="L287" i="1"/>
  <c r="L28" i="1"/>
  <c r="L95" i="1"/>
  <c r="L86" i="1"/>
  <c r="L336" i="1"/>
  <c r="L335" i="1"/>
  <c r="L50" i="1"/>
  <c r="L384" i="1"/>
  <c r="L419" i="1"/>
  <c r="L30" i="1"/>
  <c r="L205" i="1"/>
  <c r="L204" i="1"/>
  <c r="L203" i="1"/>
  <c r="L202" i="1"/>
  <c r="L201" i="1"/>
  <c r="L200" i="1"/>
  <c r="L199" i="1"/>
  <c r="L105" i="1"/>
  <c r="L101" i="1"/>
  <c r="L99" i="1"/>
  <c r="L104" i="1"/>
  <c r="L103" i="1"/>
  <c r="L100" i="1"/>
  <c r="L102" i="1"/>
  <c r="L285" i="1"/>
  <c r="L131" i="1"/>
  <c r="L372" i="1"/>
  <c r="L157" i="1"/>
  <c r="L156" i="1"/>
  <c r="L46" i="1"/>
  <c r="L334" i="1"/>
  <c r="L333" i="1"/>
  <c r="L190" i="1"/>
  <c r="L189" i="1"/>
  <c r="L478" i="1"/>
  <c r="L368" i="1"/>
  <c r="L369" i="1"/>
  <c r="L63" i="1"/>
  <c r="L90" i="1"/>
  <c r="L319" i="1"/>
  <c r="L399" i="1"/>
  <c r="L450" i="1"/>
  <c r="L261" i="1"/>
  <c r="L267" i="1"/>
  <c r="L266" i="1"/>
  <c r="L313" i="1"/>
  <c r="L462" i="1"/>
  <c r="L265" i="1"/>
  <c r="L264" i="1"/>
  <c r="L236" i="1"/>
  <c r="L55" i="1"/>
  <c r="L140" i="1"/>
  <c r="L141" i="1"/>
  <c r="L279" i="1"/>
  <c r="L248" i="1"/>
  <c r="L174" i="1"/>
  <c r="L173" i="1"/>
  <c r="L315" i="1"/>
  <c r="L314" i="1"/>
  <c r="L412" i="1"/>
  <c r="L448" i="1"/>
  <c r="L149" i="1"/>
  <c r="L401" i="1"/>
  <c r="L393" i="1"/>
  <c r="L229" i="1"/>
  <c r="L228" i="1"/>
  <c r="L227" i="1"/>
  <c r="L60" i="1"/>
  <c r="L317" i="1"/>
  <c r="L179" i="1"/>
  <c r="L178" i="1"/>
  <c r="L155" i="1"/>
  <c r="L389" i="1"/>
  <c r="L447" i="1"/>
  <c r="L442" i="1"/>
  <c r="L444" i="1"/>
  <c r="L446" i="1"/>
  <c r="L443" i="1"/>
  <c r="L162" i="1"/>
  <c r="L226" i="1"/>
  <c r="L225" i="1"/>
  <c r="L69" i="1"/>
  <c r="L304" i="1"/>
  <c r="L332" i="1"/>
  <c r="L330" i="1"/>
  <c r="L331" i="1"/>
  <c r="L171" i="1"/>
  <c r="L326" i="1"/>
  <c r="L111" i="1"/>
  <c r="L249" i="1"/>
  <c r="L428" i="1"/>
  <c r="L164" i="1"/>
  <c r="L163" i="1"/>
  <c r="L297" i="1"/>
  <c r="L397" i="1"/>
  <c r="L183" i="1"/>
  <c r="L409" i="1"/>
  <c r="L407" i="1"/>
  <c r="L406" i="1"/>
  <c r="L408" i="1"/>
  <c r="L410" i="1"/>
  <c r="L405" i="1"/>
  <c r="L166" i="1"/>
  <c r="L286" i="1"/>
  <c r="L311" i="1"/>
  <c r="L310" i="1"/>
  <c r="L312" i="1"/>
  <c r="L256" i="1"/>
  <c r="L257" i="1"/>
  <c r="L128" i="1"/>
  <c r="L418" i="1"/>
  <c r="L270" i="1"/>
  <c r="L445" i="1"/>
  <c r="L73" i="1"/>
  <c r="L74" i="1"/>
  <c r="L403" i="1"/>
  <c r="L72" i="1"/>
  <c r="L71" i="1"/>
  <c r="L479" i="1"/>
  <c r="L218" i="1"/>
  <c r="L52" i="1"/>
  <c r="L260" i="1"/>
  <c r="L89" i="1"/>
  <c r="L382" i="1"/>
  <c r="L308" i="1"/>
  <c r="L299" i="1"/>
  <c r="L298" i="1"/>
  <c r="L361" i="1"/>
  <c r="L93" i="1"/>
  <c r="L112" i="1"/>
  <c r="L92" i="1"/>
  <c r="L294" i="1"/>
  <c r="L292" i="1"/>
  <c r="L293" i="1"/>
  <c r="L118" i="1"/>
  <c r="L117" i="1"/>
  <c r="L115" i="1"/>
  <c r="L116" i="1"/>
  <c r="L392" i="1"/>
  <c r="L391" i="1"/>
  <c r="L145" i="1"/>
  <c r="L224" i="1"/>
  <c r="L390" i="1"/>
  <c r="L357" i="1"/>
  <c r="L252" i="1"/>
  <c r="L423" i="1"/>
  <c r="L434" i="1"/>
  <c r="L54" i="1"/>
  <c r="L402" i="1"/>
  <c r="L453" i="1"/>
  <c r="L381" i="1"/>
  <c r="L373" i="1"/>
  <c r="L425" i="1"/>
  <c r="L129" i="1"/>
  <c r="L138" i="1"/>
  <c r="L427" i="1"/>
  <c r="L296" i="1"/>
  <c r="L295" i="1"/>
  <c r="L133" i="1"/>
  <c r="L437" i="1"/>
  <c r="L275" i="1"/>
  <c r="L27" i="1"/>
  <c r="L276" i="1"/>
  <c r="L475" i="1"/>
  <c r="L81" i="1"/>
  <c r="L309" i="1"/>
  <c r="L471" i="1"/>
  <c r="L147" i="1"/>
  <c r="L146" i="1"/>
  <c r="L143" i="1"/>
  <c r="L153" i="1"/>
  <c r="L460" i="1"/>
  <c r="L259" i="1"/>
  <c r="L435" i="1"/>
  <c r="L119" i="1"/>
  <c r="L170" i="1"/>
  <c r="L169" i="1"/>
  <c r="L360" i="1"/>
  <c r="L359" i="1"/>
  <c r="L370" i="1"/>
  <c r="L238" i="1"/>
  <c r="L237" i="1"/>
  <c r="L394" i="1"/>
  <c r="L432" i="1"/>
  <c r="L127" i="1"/>
  <c r="L137" i="1"/>
  <c r="L251" i="1"/>
  <c r="L411" i="1"/>
  <c r="L387" i="1"/>
  <c r="L244" i="1"/>
  <c r="L42" i="1"/>
  <c r="L39" i="1"/>
  <c r="L41" i="1"/>
  <c r="L37" i="1"/>
  <c r="L40" i="1"/>
  <c r="L38" i="1"/>
  <c r="L172" i="1"/>
  <c r="L422" i="1"/>
  <c r="L325" i="1"/>
  <c r="L242" i="1"/>
  <c r="L234" i="1"/>
  <c r="L235" i="1"/>
  <c r="L23" i="1"/>
  <c r="L22" i="1"/>
  <c r="L464" i="1"/>
  <c r="L388" i="1"/>
  <c r="L436" i="1"/>
  <c r="L413" i="1"/>
  <c r="L91" i="1"/>
  <c r="L316" i="1"/>
  <c r="L288" i="1"/>
  <c r="L130" i="1"/>
  <c r="L463" i="1"/>
  <c r="L175" i="1"/>
  <c r="L426" i="1"/>
  <c r="L132" i="1"/>
  <c r="L68" i="1"/>
  <c r="L160" i="1"/>
  <c r="L159" i="1"/>
  <c r="L377" i="1"/>
  <c r="L374" i="1"/>
  <c r="L114" i="1"/>
  <c r="L329" i="1"/>
  <c r="L75" i="1"/>
  <c r="L51" i="1"/>
  <c r="L233" i="1"/>
  <c r="L449" i="1"/>
  <c r="L184" i="1"/>
  <c r="L283" i="1"/>
  <c r="L67" i="1"/>
  <c r="L34" i="1"/>
  <c r="L33" i="1"/>
  <c r="L66" i="1"/>
  <c r="L456" i="1"/>
  <c r="L376" i="1"/>
  <c r="L273" i="1"/>
  <c r="L433" i="1"/>
  <c r="L305" i="1"/>
  <c r="L324" i="1"/>
  <c r="L281" i="1"/>
  <c r="L134" i="1"/>
  <c r="L378" i="1"/>
  <c r="L430" i="1"/>
  <c r="L45" i="1"/>
  <c r="L43" i="1"/>
  <c r="L44" i="1"/>
  <c r="L441" i="1"/>
  <c r="L457" i="1"/>
  <c r="L144" i="1"/>
  <c r="L26" i="1"/>
  <c r="L439" i="1"/>
  <c r="L385" i="1"/>
  <c r="L455" i="1"/>
  <c r="L280" i="1"/>
  <c r="L77" i="1"/>
  <c r="L440" i="1"/>
  <c r="L87" i="1"/>
  <c r="L375" i="1"/>
  <c r="L429" i="1"/>
  <c r="L472" i="1"/>
  <c r="L65" i="1"/>
  <c r="L458" i="1"/>
  <c r="L79" i="1"/>
  <c r="L380" i="1"/>
  <c r="L70" i="1"/>
  <c r="L452" i="1"/>
  <c r="L241" i="1"/>
  <c r="L142" i="1"/>
  <c r="L135" i="1"/>
  <c r="L284" i="1"/>
  <c r="L383" i="1"/>
  <c r="L106" i="1"/>
  <c r="L25" i="1"/>
  <c r="L24" i="1"/>
  <c r="L404" i="1"/>
  <c r="L272" i="1"/>
  <c r="L239" i="1"/>
  <c r="L431" i="1"/>
  <c r="L53" i="1"/>
  <c r="L21" i="1"/>
  <c r="L20" i="1"/>
  <c r="L282" i="1"/>
  <c r="L318" i="1"/>
  <c r="L461" i="1"/>
  <c r="L300" i="1"/>
  <c r="L367" i="1"/>
  <c r="L307" i="1"/>
  <c r="L365" i="1"/>
  <c r="L176" i="1"/>
  <c r="L57" i="1"/>
  <c r="L303" i="1"/>
  <c r="L158" i="1"/>
  <c r="L476" i="1"/>
  <c r="L473" i="1"/>
  <c r="L289" i="1"/>
  <c r="L474" i="1"/>
  <c r="L62" i="1"/>
  <c r="L56" i="1"/>
  <c r="L306" i="1"/>
  <c r="L98" i="1"/>
  <c r="L97" i="1"/>
  <c r="L88" i="1"/>
  <c r="L250" i="1"/>
  <c r="L139" i="1"/>
  <c r="L291" i="1"/>
  <c r="L245" i="1"/>
  <c r="L301" i="1"/>
  <c r="L420" i="1"/>
  <c r="L421" i="1"/>
  <c r="L168" i="1"/>
  <c r="L19" i="1"/>
  <c r="L290" i="1"/>
  <c r="L302" i="1"/>
  <c r="L152" i="1"/>
  <c r="L59" i="1"/>
  <c r="L469" i="1"/>
  <c r="L136" i="1"/>
  <c r="L468" i="1"/>
  <c r="L150" i="1"/>
  <c r="L243" i="1"/>
  <c r="L482" i="1"/>
  <c r="L64" i="1"/>
  <c r="L151" i="1"/>
</calcChain>
</file>

<file path=xl/sharedStrings.xml><?xml version="1.0" encoding="utf-8"?>
<sst xmlns="http://schemas.openxmlformats.org/spreadsheetml/2006/main" count="3546" uniqueCount="1466">
  <si>
    <t>LOCATION</t>
  </si>
  <si>
    <t>LOT #</t>
  </si>
  <si>
    <t>BOL #</t>
  </si>
  <si>
    <t>CATEGORY</t>
  </si>
  <si>
    <t>RETURN TYPE</t>
  </si>
  <si>
    <t># OF PALLETS</t>
  </si>
  <si>
    <t># OF CARTONS</t>
  </si>
  <si>
    <t>WEIGHT</t>
  </si>
  <si>
    <t>TOTAL ORIGINAL RETAIL</t>
  </si>
  <si>
    <t># OF UNITS</t>
  </si>
  <si>
    <t>TEXTILES</t>
  </si>
  <si>
    <t>STORE STOCK</t>
  </si>
  <si>
    <t>TOTAL:</t>
  </si>
  <si>
    <t>DIVISION</t>
  </si>
  <si>
    <t>% OF UNITS</t>
  </si>
  <si>
    <t>BLM</t>
  </si>
  <si>
    <t>MCY</t>
  </si>
  <si>
    <t>UPC</t>
  </si>
  <si>
    <t>ITEM DESCRIPTION</t>
  </si>
  <si>
    <t>ORIGINAL QTY</t>
  </si>
  <si>
    <t>ORIGINAL RETAIL</t>
  </si>
  <si>
    <t>VENDOR / STYLE #</t>
  </si>
  <si>
    <t>COLOR</t>
  </si>
  <si>
    <t>SIZE</t>
  </si>
  <si>
    <t>DEPARTMENT NAME</t>
  </si>
  <si>
    <t>VENDOR NAME</t>
  </si>
  <si>
    <t>COUNTRY OF ORIGIN</t>
  </si>
  <si>
    <t>FABRIC CONTENT</t>
  </si>
  <si>
    <t>IMAGE</t>
  </si>
  <si>
    <t>843080103489</t>
  </si>
  <si>
    <t>GRECO GREY BOX W/COV</t>
  </si>
  <si>
    <t>RSBL02IS</t>
  </si>
  <si>
    <t>NO COLOR</t>
  </si>
  <si>
    <t>PB-BTH-RUG/AC</t>
  </si>
  <si>
    <t>SV CASA DESIGN/DEVINE CORP</t>
  </si>
  <si>
    <t>MADE IN PHILIPPINES</t>
  </si>
  <si>
    <t>RIVER SHELL/BLACKLIP SHELL</t>
  </si>
  <si>
    <t>843080103694</t>
  </si>
  <si>
    <t>CAPRI BOX W/COVER</t>
  </si>
  <si>
    <t>MP01IS</t>
  </si>
  <si>
    <t>MOTHER-OF-PEARL SHELL/WHITE STONE</t>
  </si>
  <si>
    <t>637880622345</t>
  </si>
  <si>
    <t>WHITE AGATE</t>
  </si>
  <si>
    <t>WHITE</t>
  </si>
  <si>
    <t>LABRAZEL LLC</t>
  </si>
  <si>
    <t>HAMMERSHELL/RESIN</t>
  </si>
  <si>
    <t>846339046841</t>
  </si>
  <si>
    <t>J Queen New York Bradshaw 4-Pc. Queen Comforter Natural Queen</t>
  </si>
  <si>
    <t>1795D048QCS</t>
  </si>
  <si>
    <t>NATURAL</t>
  </si>
  <si>
    <t>TRAD TXTL COL</t>
  </si>
  <si>
    <t>J QUEEN NEW YORK INC</t>
  </si>
  <si>
    <t>IMPORTED</t>
  </si>
  <si>
    <t>886087375688</t>
  </si>
  <si>
    <t>FU/QN DUV</t>
  </si>
  <si>
    <t>TURQ/AQUA</t>
  </si>
  <si>
    <t>SLN HOTL/RLTX</t>
  </si>
  <si>
    <t>LAUREN BY RL/RALPH LAUREN HOME COLL</t>
  </si>
  <si>
    <t>MADE IN CHINA</t>
  </si>
  <si>
    <t>COTTON</t>
  </si>
  <si>
    <t>732999959808</t>
  </si>
  <si>
    <t>VLVT DIAMOND KG CVLT BASIC</t>
  </si>
  <si>
    <t>100017208KG</t>
  </si>
  <si>
    <t>GOLD</t>
  </si>
  <si>
    <t>HOTEL LUX BDG</t>
  </si>
  <si>
    <t>HUDSON PARK COLLECTION-BLM</t>
  </si>
  <si>
    <t>SHELL: 55% COTTON/45% POLYESTER; FILL: 100% POLYESTER</t>
  </si>
  <si>
    <t>693614014886</t>
  </si>
  <si>
    <t>Ella Jayne Luxury 2 Loft Down Plush Feat White King</t>
  </si>
  <si>
    <t>EJHFTHRBED4</t>
  </si>
  <si>
    <t>PILLWS&amp;PADS</t>
  </si>
  <si>
    <t>ELLA JAYNE/PILLOW GUY INC</t>
  </si>
  <si>
    <t>SHELL: 100% COTTON, FILL: TOP- 16OZ WHITE GOOSE DOWN, BOTTOM-232OZ WHITE GOOSE FEATHER</t>
  </si>
  <si>
    <t>732999959815</t>
  </si>
  <si>
    <t>VLVT DIAMOND QN CVLT BASIC</t>
  </si>
  <si>
    <t>100017208QN</t>
  </si>
  <si>
    <t>675716640033</t>
  </si>
  <si>
    <t>Beautyrest Electric Plush King Blanket Ivory King</t>
  </si>
  <si>
    <t>BR54-0524</t>
  </si>
  <si>
    <t>PB BLANKETS</t>
  </si>
  <si>
    <t>JLA HOME/E &amp; E CO LTD</t>
  </si>
  <si>
    <t>843080103526</t>
  </si>
  <si>
    <t>GRECO GREY TUMBLER</t>
  </si>
  <si>
    <t>RSBL02GS</t>
  </si>
  <si>
    <t>675716534936</t>
  </si>
  <si>
    <t>Madison Park Kannapali 7-Pc. King Comforter Green King</t>
  </si>
  <si>
    <t>MP10-926</t>
  </si>
  <si>
    <t>YELLOW</t>
  </si>
  <si>
    <t>MOD BEDDING</t>
  </si>
  <si>
    <t>COMFORTER/SHAM: COTTON, REVERSES TO COTTON/POLYESTER THREAD COUNT: 200, REVERSES TO 180; PILLOW: POLYESTER THREAD COUNT: 180; BEDSKIRT: COTTON/POLYESTER THREAD COUNT: 180; COMFORTER FILL: POLYESTER 270 GRAMS PER SQUARE METER; PILLOW FILL: POLYESTER</t>
  </si>
  <si>
    <t>675716715786</t>
  </si>
  <si>
    <t>Madison Park Bennett 7-Pc. California King Grey California King</t>
  </si>
  <si>
    <t>MP10-2420</t>
  </si>
  <si>
    <t>GRAY</t>
  </si>
  <si>
    <t>COMFORTER AND SHAMS: POLYESTER; BEDSKIRT DROP: POLYONI; POLYESTER PLATFORM; DECORATIVE PILLOWS: POLYESTER; POLYESTER FILL; COMFORTER FILL: POLYESTER 270 GRAMS PER SQUARE METER</t>
  </si>
  <si>
    <t>783048113047</t>
  </si>
  <si>
    <t>400TC PERCALE</t>
  </si>
  <si>
    <t>DCS3307AMK-1800</t>
  </si>
  <si>
    <t>YOUNG CL HOME</t>
  </si>
  <si>
    <t>CHARISMA/PEM AMERICA INC</t>
  </si>
  <si>
    <t>706254953542</t>
  </si>
  <si>
    <t>Hotel Collection Iridescence FullQueen Coverle Grey FullQueen</t>
  </si>
  <si>
    <t>100047292QN</t>
  </si>
  <si>
    <t>LT/PAS GRY</t>
  </si>
  <si>
    <t>HOTEL BY CC-EDI/RWI/SARITA HANDA</t>
  </si>
  <si>
    <t>FABRIC: POLYESTER; REVERSES TO COTTON; POLYESTER FILL</t>
  </si>
  <si>
    <t>734737637047</t>
  </si>
  <si>
    <t>Sunham Morgan2 Blue K CS Blue King</t>
  </si>
  <si>
    <t>NAVY</t>
  </si>
  <si>
    <t>SUNHAM CO USA</t>
  </si>
  <si>
    <t>100% POLYESTER</t>
  </si>
  <si>
    <t>734737637054</t>
  </si>
  <si>
    <t>Sunham Morgan2 Blue CalK CS Blue California King</t>
  </si>
  <si>
    <t>675716664787</t>
  </si>
  <si>
    <t>Madison Park Essentials Serenity 9-Pc. King Aqua King</t>
  </si>
  <si>
    <t>MPE10-117</t>
  </si>
  <si>
    <t>COMFORTER/SHAM/BEDSKIRT: POLYESTER 85 GRAMS PER SQUARE METER; PILLOW (COVER): POLYESTER; SHEETS: COTTON; THREAD COUNT: 180; PILLOW FILL: POLYESTER; COMFORTER FILL: POLYESTER 250 GRAMS PER SQUARE METER</t>
  </si>
  <si>
    <t>846339075308</t>
  </si>
  <si>
    <t>J Queen New York Zilara FullQueen Coverlet Silver FullQueen</t>
  </si>
  <si>
    <t>2180046FQCOV</t>
  </si>
  <si>
    <t>SILVER</t>
  </si>
  <si>
    <t>POLYESTER</t>
  </si>
  <si>
    <t>86569991454</t>
  </si>
  <si>
    <t>Madison Park Breanna 4-Pc. FullQueen Quilt Ivory FullQueen</t>
  </si>
  <si>
    <t>MP13-5485</t>
  </si>
  <si>
    <t>DEC PILL/THRW</t>
  </si>
  <si>
    <t>COTTON; POLYESTER FILL</t>
  </si>
  <si>
    <t>819684010010</t>
  </si>
  <si>
    <t>eLuxury eLuxury Rayon from Bamboo King White King</t>
  </si>
  <si>
    <t>BAMBOOPAD-KG</t>
  </si>
  <si>
    <t>KGMATTRESS</t>
  </si>
  <si>
    <t>ELUXURY LLC</t>
  </si>
  <si>
    <t>MADE IN USA</t>
  </si>
  <si>
    <t>RAYON FROM BAMBOO, COTTON AND POLYESTER</t>
  </si>
  <si>
    <t>675716866198</t>
  </si>
  <si>
    <t>JLA Home Mi Zone Ashton KingCal King 4 Navy KingCalifornia King</t>
  </si>
  <si>
    <t>MZ10-508</t>
  </si>
  <si>
    <t>COMFORTER/SHAM/DECORATIVE PILLOW: 100% POLYESTER MICROFIBER; COMFORTER/DECORATIVE PILLOW FILLING: 100% POLYESTER</t>
  </si>
  <si>
    <t>709271377421</t>
  </si>
  <si>
    <t>CK MODERN COTTON BOD BASIC</t>
  </si>
  <si>
    <t>141BODY-FQ-W1-D2</t>
  </si>
  <si>
    <t>CALVIN KLEIN HOME/HIMATSINGKA AMER</t>
  </si>
  <si>
    <t>COTTON/MODAL</t>
  </si>
  <si>
    <t>883893636613</t>
  </si>
  <si>
    <t>DIAMOND VELVET</t>
  </si>
  <si>
    <t>USHSA91130459</t>
  </si>
  <si>
    <t>VERA WANG/REVMAN INTERNATIONAL INC</t>
  </si>
  <si>
    <t>COTTON/POLYESTER</t>
  </si>
  <si>
    <t>883893636637</t>
  </si>
  <si>
    <t>USHSA91130461</t>
  </si>
  <si>
    <t>86569072146</t>
  </si>
  <si>
    <t>Madison Park Madison Park Ava FullQueen Me Grey FullQueen</t>
  </si>
  <si>
    <t>MP10-6013</t>
  </si>
  <si>
    <t>COMFORTER/SHAM -100% POLYESTER 240GSM EMBROIDERED LONG FUR ON FACE, 100% POLYESTER SOLID 180GSM MINK ON BACK, COMFORTER FILL - 260GSM POLYESTER</t>
  </si>
  <si>
    <t>86569096906</t>
  </si>
  <si>
    <t>Beautyrest Beautyrest Deluxe 18lb Quilted Grey 60x70</t>
  </si>
  <si>
    <t>BR51N-0931</t>
  </si>
  <si>
    <t>COVER:COTTON 233 THREAD COUNT; INSERT: POLYESTER AND BEADS</t>
  </si>
  <si>
    <t>788904224592</t>
  </si>
  <si>
    <t>Blue Ridge 1000 Thread Count Egyptian Cot White Standard</t>
  </si>
  <si>
    <t>SINGLE</t>
  </si>
  <si>
    <t>BLUE RIDGE HOME FASHIONS</t>
  </si>
  <si>
    <t>MADE IN USA OF IMPORTED MATERIALS</t>
  </si>
  <si>
    <t>1000-THREAD COUNT EGYPTIAN COTTON; DOWN FILL</t>
  </si>
  <si>
    <t>883893555372</t>
  </si>
  <si>
    <t>WAFFLE PIQUE DUVET C-</t>
  </si>
  <si>
    <t>USHSFN1073737</t>
  </si>
  <si>
    <t>MED BLUE</t>
  </si>
  <si>
    <t>675716746070</t>
  </si>
  <si>
    <t>Madison Park Aubrey 6-Pc. Quilted KingCali Black KingCalifornia King</t>
  </si>
  <si>
    <t>MP13-2695</t>
  </si>
  <si>
    <t>BLACK</t>
  </si>
  <si>
    <t>COVERLET, SHAMS AND DECORATIVE PILLOWS: POLYESTER; COMFORTER FILL: COTTON/POLYESTER/OTHER FIBERS 240 GRAMS PER SQUARE METER; DECORATIVE PILLOWS FILL: POLYESTER</t>
  </si>
  <si>
    <t>883893681743</t>
  </si>
  <si>
    <t>WAFFLE PIQUE COMFORT</t>
  </si>
  <si>
    <t>USHSA51156801</t>
  </si>
  <si>
    <t>38992929290</t>
  </si>
  <si>
    <t>Waterford DAPHNE ASCOT VALANCE SET OF 3 Jade ONE SIZE</t>
  </si>
  <si>
    <t>CNDPHNW320A3</t>
  </si>
  <si>
    <t>BRIGHT GRN</t>
  </si>
  <si>
    <t>WATERFORD/W-C HOME FASHIONS LLC</t>
  </si>
  <si>
    <t>FRONT: 100% POLYESTER, EXCLUSIVE OF DECORATION. LINING: 100% POLYESTER</t>
  </si>
  <si>
    <t>813654024625</t>
  </si>
  <si>
    <t>HiEnd Accents Wilderness Ridge 58x72 Chenill Multi No Size</t>
  </si>
  <si>
    <t>LG1849TH</t>
  </si>
  <si>
    <t>70X52</t>
  </si>
  <si>
    <t>HIEND ACCENTS/3J INTERNATIONAL LTD</t>
  </si>
  <si>
    <t>675716389871</t>
  </si>
  <si>
    <t>Madison Park Laurel 7-Pc. Queen Comforter S Taupe Queen</t>
  </si>
  <si>
    <t>MP10-251</t>
  </si>
  <si>
    <t>BEIGEKHAKI</t>
  </si>
  <si>
    <t>86569107206</t>
  </si>
  <si>
    <t>Beautyrest Beautyrest Luxury 18lb Quilted Grey 60x70</t>
  </si>
  <si>
    <t>BR51-0935</t>
  </si>
  <si>
    <t>COVER: POLYESTER MINK, DIAMOND QUILTING, ZIPPER CLOSURE; INSERT: POLYESTER AND BEADS</t>
  </si>
  <si>
    <t>732998775317</t>
  </si>
  <si>
    <t>Hotel Collection LAST ACT Hotel Collection Hon Mink FullQueen</t>
  </si>
  <si>
    <t>100079053QN</t>
  </si>
  <si>
    <t>HOTEL BY CHARTER CLUB-MMG</t>
  </si>
  <si>
    <t>783048085931</t>
  </si>
  <si>
    <t>Oceanfront Resort Oceanfront Resort Nautical Cha Multiple King</t>
  </si>
  <si>
    <t>DCS2984KG-1800</t>
  </si>
  <si>
    <t>ASSORTED</t>
  </si>
  <si>
    <t>PEM AMERICA INC</t>
  </si>
  <si>
    <t>86569045751</t>
  </si>
  <si>
    <t>Madison Park Madison Park Laetitia FullQue Ivory FullQueen</t>
  </si>
  <si>
    <t>MP12-5978</t>
  </si>
  <si>
    <t>DUVET/SHAM - 100% COTTON</t>
  </si>
  <si>
    <t>783048106568</t>
  </si>
  <si>
    <t>Pem America Coventry King Comforter Set Charcoal King</t>
  </si>
  <si>
    <t>CS3209CGK7-1300</t>
  </si>
  <si>
    <t>86569299871</t>
  </si>
  <si>
    <t>Madison Park Essentials Madison Park Essentials Sofia Blue Queen</t>
  </si>
  <si>
    <t>MPE10-880</t>
  </si>
  <si>
    <t>675716905088</t>
  </si>
  <si>
    <t>Urban Habitat Brooklyn 5-Pc. TwinTwin XL Co Pink TwinTwin XL</t>
  </si>
  <si>
    <t>UH12-0207</t>
  </si>
  <si>
    <t>PINK</t>
  </si>
  <si>
    <t>DUVET/SHAM: COTTON; THREAD COUNT: 140, REVERSES TO 144; PILLOW/EUROPEAN SHAM: COTTON; THREAD COUNT: 144; PILLOW FILL: POLYESTER</t>
  </si>
  <si>
    <t>883893656833</t>
  </si>
  <si>
    <t>MARBLED SHAM NO QLT-</t>
  </si>
  <si>
    <t>USHSGY1145483</t>
  </si>
  <si>
    <t>55% LINEN, 45% COTTON</t>
  </si>
  <si>
    <t>848742081532</t>
  </si>
  <si>
    <t>Lush Decor Prima Velvet 38 x 95 Curtain Grey 38x95</t>
  </si>
  <si>
    <t>16T003843</t>
  </si>
  <si>
    <t>LUSH DECOR/TRIANGLE HOME FASHIONS</t>
  </si>
  <si>
    <t>783048112835</t>
  </si>
  <si>
    <t>SS3307BWQN-4700</t>
  </si>
  <si>
    <t>ALL COTTON</t>
  </si>
  <si>
    <t>783048113153</t>
  </si>
  <si>
    <t>SS3307IBQN-4700</t>
  </si>
  <si>
    <t>192664542009</t>
  </si>
  <si>
    <t>Baldwin Lavish Home Contoured U-Shape Grey</t>
  </si>
  <si>
    <t>M901806</t>
  </si>
  <si>
    <t>TRADEMARK GLOBAL/TRADEMARK GAMES</t>
  </si>
  <si>
    <t>COVER: 100% COTTON 233TC, FILLING: POLYESTER HOLLOW FIBER, REMOVABLE ZIPPERED COVER</t>
  </si>
  <si>
    <t>47293399480</t>
  </si>
  <si>
    <t>Sure Fit Slipcovers, Matelasse Damask 1 White Chair Slipcover</t>
  </si>
  <si>
    <t>193627275TC</t>
  </si>
  <si>
    <t>SURE FIT HOME PRODUCTS LLC</t>
  </si>
  <si>
    <t>POLYESTER/COTTON</t>
  </si>
  <si>
    <t>86569002167</t>
  </si>
  <si>
    <t>Intelligent Design Loretta 9-Pc. Queen Comforter Navy Queen</t>
  </si>
  <si>
    <t>ID10-1377</t>
  </si>
  <si>
    <t>COMFORTER/SHAM/SHEET SET/DECORATIVE PILLOW/BEDSKIRT: POLYESTER; COMFORTER FILL: POLYESTER 5 OUNCES PER SQUARE YARD; DECORATIVE PILLOW FILL: POLYESTER</t>
  </si>
  <si>
    <t>883893605558</t>
  </si>
  <si>
    <t>Laura Ashley Adley Blue Duvet Cover Set, Fu Blue FullQueen</t>
  </si>
  <si>
    <t>USHSFN1102359</t>
  </si>
  <si>
    <t>BLUE</t>
  </si>
  <si>
    <t>LAURA ASHLEY/REVMAN INTERNATIONAL</t>
  </si>
  <si>
    <t>86569045690</t>
  </si>
  <si>
    <t>Sleep Philosophy Sleep Philosophy Premium Soft Grey 60x70</t>
  </si>
  <si>
    <t>BL51-0912</t>
  </si>
  <si>
    <t>POLYESTER COVER / NON TOXIC BEADS &amp; POLYESTER FIBER FILLING</t>
  </si>
  <si>
    <t>886087164619</t>
  </si>
  <si>
    <t>624 SATEEN BASIC</t>
  </si>
  <si>
    <t>QNJUMBOFIT</t>
  </si>
  <si>
    <t>624-THREAD COUNT COTTON SATEEN SATEEN</t>
  </si>
  <si>
    <t>886087164732</t>
  </si>
  <si>
    <t>QUEEN FLAT</t>
  </si>
  <si>
    <t>32281230241</t>
  </si>
  <si>
    <t>Disney Frozen 2 Sparkle 8pc Full Bed Multi Full</t>
  </si>
  <si>
    <t>JF23024</t>
  </si>
  <si>
    <t>DISNEY/JAY FRANCO &amp; SONS</t>
  </si>
  <si>
    <t>844353986525</t>
  </si>
  <si>
    <t>Rizzy Home Rizzy Home Striped Polyester F Blue</t>
  </si>
  <si>
    <t>PILT13796IVBL2020</t>
  </si>
  <si>
    <t>LT/PASBLUE</t>
  </si>
  <si>
    <t>NO SIZE</t>
  </si>
  <si>
    <t>RIZZY HOME/RIZTEX USA INC</t>
  </si>
  <si>
    <t>100% WOOL</t>
  </si>
  <si>
    <t>672225324386</t>
  </si>
  <si>
    <t>Luxlen Luxlen Isanti 7 Piece Comforte Blue Queen</t>
  </si>
  <si>
    <t>P-21500-Q</t>
  </si>
  <si>
    <t>QNCOMFORTE</t>
  </si>
  <si>
    <t>LUXLEN LLC</t>
  </si>
  <si>
    <t>693614012639</t>
  </si>
  <si>
    <t>Ella Jayne Lofty 100 Cotton Plush Gel Fi White King</t>
  </si>
  <si>
    <t>EJHFBFC4</t>
  </si>
  <si>
    <t>COVER: 100% DOUBLE COTTON SATIN, FILLING: 100% POLYESTER</t>
  </si>
  <si>
    <t>610395227250</t>
  </si>
  <si>
    <t>Exclusive Fabrics Furnishing Exclusive Fabrics Furnishing Beige 50 x 84</t>
  </si>
  <si>
    <t>JQCH-20122010-84</t>
  </si>
  <si>
    <t>EXCLUSIVE FABRICS &amp; FURNISHINGS LLC</t>
  </si>
  <si>
    <t>86569065797</t>
  </si>
  <si>
    <t>Intelligent Design Odette 5-Pc. FullQueen Boho C Blue FullQueen</t>
  </si>
  <si>
    <t>ID10-1334</t>
  </si>
  <si>
    <t>FABRIC: POLYESTER; POLYESTER FILL</t>
  </si>
  <si>
    <t>842941108403</t>
  </si>
  <si>
    <t>Tribeca Living Como Microfiber Solid Oversize Black Queen</t>
  </si>
  <si>
    <t>COMOQUILTQUBL</t>
  </si>
  <si>
    <t>TRIBECA LIVING/MARWAH CORPORATION</t>
  </si>
  <si>
    <t>120-GSM MICROFIBER 150-GSM POLYESTER FILL</t>
  </si>
  <si>
    <t>608356258504</t>
  </si>
  <si>
    <t>Charter Club Damask Designs FullQueen Bed White Queen</t>
  </si>
  <si>
    <t>100023189FQ</t>
  </si>
  <si>
    <t>CHRT CLB DSGN</t>
  </si>
  <si>
    <t>CHARTER CLUB/SHANGHAI SUNWIN IN</t>
  </si>
  <si>
    <t>849203023689</t>
  </si>
  <si>
    <t>PKaufmann Home Plush XL Sofa Burgundy ONE SIZE</t>
  </si>
  <si>
    <t>PSHXLSO</t>
  </si>
  <si>
    <t>DARK RED</t>
  </si>
  <si>
    <t>P KAUFMANN INC</t>
  </si>
  <si>
    <t>706258049937</t>
  </si>
  <si>
    <t>Charter Club Damask Supima Cotton 550-Threa Mint Queen</t>
  </si>
  <si>
    <t>DLLSLQNSMNT</t>
  </si>
  <si>
    <t>LT/PAS GRN</t>
  </si>
  <si>
    <t>CC MOD BEDDNG</t>
  </si>
  <si>
    <t>CHARTER CLUB-EDI/RWI/VTX</t>
  </si>
  <si>
    <t>86569387684</t>
  </si>
  <si>
    <t>Urban Dreams Gemma 8-Pc. Full Comforter Set Purple Full</t>
  </si>
  <si>
    <t>MCH10-2086</t>
  </si>
  <si>
    <t>PURPLE</t>
  </si>
  <si>
    <t>783048013095</t>
  </si>
  <si>
    <t>CHARISMA 310 SLD SS FU RBASIC</t>
  </si>
  <si>
    <t>SS1880RAFU-4700</t>
  </si>
  <si>
    <t>MED PURPLE</t>
  </si>
  <si>
    <t>883893684171</t>
  </si>
  <si>
    <t>VW T200 SOLID SHEET-</t>
  </si>
  <si>
    <t>USHSA01159873</t>
  </si>
  <si>
    <t>47293451324</t>
  </si>
  <si>
    <t>Sure Fit Essential Twill 1PC Slipcover White ONE SIZE</t>
  </si>
  <si>
    <t>184326246C105SFWING</t>
  </si>
  <si>
    <t>849203036047</t>
  </si>
  <si>
    <t>PKaufmann Home Floral loveseat Sand ONE SIZE</t>
  </si>
  <si>
    <t>9587LOV</t>
  </si>
  <si>
    <t>RUSTCOPPER</t>
  </si>
  <si>
    <t>POLYESTER/SPANDEX</t>
  </si>
  <si>
    <t>843145100408</t>
  </si>
  <si>
    <t>Chic Home Chic Home Weaverland 3 Piece Q Charcoal Grey Queen</t>
  </si>
  <si>
    <t>BQS00408-MC</t>
  </si>
  <si>
    <t>DARK GRAY</t>
  </si>
  <si>
    <t>CHIC HOME DESIGN LLC</t>
  </si>
  <si>
    <t>FABRIC: POLYESTER MICROFIBER; FILL: POLYESTER</t>
  </si>
  <si>
    <t>47293371554</t>
  </si>
  <si>
    <t>Sure Fit Sure Fit Stretch Pinstripe Two French Blue Chair Slipcover</t>
  </si>
  <si>
    <t>119827270U424SFCHR</t>
  </si>
  <si>
    <t>706258049906</t>
  </si>
  <si>
    <t>Charter Club Damask Supima Cotton 550-Threa Medium Ivory Queen</t>
  </si>
  <si>
    <t>DLLSLQNSIVR</t>
  </si>
  <si>
    <t>848742081952</t>
  </si>
  <si>
    <t>Lush Decor Insulated 84x52 Back Tab out Light Gray 52x84</t>
  </si>
  <si>
    <t>16T003895</t>
  </si>
  <si>
    <t>783048037206</t>
  </si>
  <si>
    <t>Truly Soft Truly Soft Everyday Hotel Bord White And Black FullQueen</t>
  </si>
  <si>
    <t>CS2182WBFQ7-00</t>
  </si>
  <si>
    <t>845951059222</t>
  </si>
  <si>
    <t>RT Designers Collection Reef 5-Piece Quilt Set - Queen Pink Queen</t>
  </si>
  <si>
    <t>BSR065Q</t>
  </si>
  <si>
    <t>RAMALLAH TRADING CO INC</t>
  </si>
  <si>
    <t>POLYESTER FILLING: COTTON/POLYESTER</t>
  </si>
  <si>
    <t>47293437403</t>
  </si>
  <si>
    <t>Sure Fit Sure Fit Deep Pile Polyester V Carbon Loveseat Slipcover</t>
  </si>
  <si>
    <t>122411120KL066</t>
  </si>
  <si>
    <t>886087164572</t>
  </si>
  <si>
    <t>799695726677</t>
  </si>
  <si>
    <t>Exclusive Fabrics Furnishing Exclusive Fabrics Furnishing Suez Natural 50 x 96</t>
  </si>
  <si>
    <t>SHCH-SLWE5294-96</t>
  </si>
  <si>
    <t>86569387677</t>
  </si>
  <si>
    <t>Urban Dreams Gemma 6-Pc. Twin Comforter Set Purple Twin</t>
  </si>
  <si>
    <t>MCH10-2085</t>
  </si>
  <si>
    <t>842491138172</t>
  </si>
  <si>
    <t>Sweet Home Collection Greek Key 8-Pc. Queen Comforte Navy Queen</t>
  </si>
  <si>
    <t>8PCGKBB-Q</t>
  </si>
  <si>
    <t>SWEET HOME COLLECTION/BED BATH N MO</t>
  </si>
  <si>
    <t>191790036918</t>
  </si>
  <si>
    <t>AQ Textiles Ultra Lux T800 Cotton 4 piece White Queen</t>
  </si>
  <si>
    <t>24942103001AQT</t>
  </si>
  <si>
    <t>SHEETS &amp;CASES</t>
  </si>
  <si>
    <t>AQ TEXTILES</t>
  </si>
  <si>
    <t>191790037090</t>
  </si>
  <si>
    <t>AQ Textiles Ultra Lux T800 Cotton 4 piece Grey Queen</t>
  </si>
  <si>
    <t>24942103200AQT</t>
  </si>
  <si>
    <t>651348294899</t>
  </si>
  <si>
    <t>Sure Fit London Grommet Drapery Panel P Ivory 54x84</t>
  </si>
  <si>
    <t>412762600103SP5484</t>
  </si>
  <si>
    <t>83/84 SGL</t>
  </si>
  <si>
    <t>POLYESTER POLY/COTTON LINING</t>
  </si>
  <si>
    <t>849203055314</t>
  </si>
  <si>
    <t>PKaufmann Home PKaufmann Home Nolan Throw So Blue Sofa Slipcover</t>
  </si>
  <si>
    <t>9832SOFBLUE</t>
  </si>
  <si>
    <t>693614012615</t>
  </si>
  <si>
    <t>Ella Jayne Lofty 100 Cotton Plush Gel Fi White Full</t>
  </si>
  <si>
    <t>EJHFBFC2</t>
  </si>
  <si>
    <t>RFMATTRESS</t>
  </si>
  <si>
    <t>848742091944</t>
  </si>
  <si>
    <t>Lush Decor Ombre Stripe 38 x 84 Sheer C Blush 38x84</t>
  </si>
  <si>
    <t>16T004773</t>
  </si>
  <si>
    <t>LT/PASPINK</t>
  </si>
  <si>
    <t>42075586362</t>
  </si>
  <si>
    <t>Michael Aram Butterfly Embroidered 12 x 1 White ONE SIZE</t>
  </si>
  <si>
    <t>2-01430YWT</t>
  </si>
  <si>
    <t>16X16</t>
  </si>
  <si>
    <t>NEO COLLECTNS</t>
  </si>
  <si>
    <t>MICHAEL ARAM/CHF INDUSTRIES INC</t>
  </si>
  <si>
    <t>85PERCENT COTTON/15PERCENT LINEN</t>
  </si>
  <si>
    <t>675716507237</t>
  </si>
  <si>
    <t>Madison Park Madison Park Aubrey Paisley 50 Black 50x84</t>
  </si>
  <si>
    <t>MP40-692</t>
  </si>
  <si>
    <t>FABRIC: POLYESTER</t>
  </si>
  <si>
    <t>47293325373</t>
  </si>
  <si>
    <t>Sure Fit Soft Faux Suede Sofa Slipcover Taupe Sofa Slipcover</t>
  </si>
  <si>
    <t>BEIGE</t>
  </si>
  <si>
    <t>64247040410</t>
  </si>
  <si>
    <t>Lauren Ralph Lauren Lauren Ralph Lauren Vienna Lig Ivory 95-98</t>
  </si>
  <si>
    <t>VIENNA54X96</t>
  </si>
  <si>
    <t>95 SGL</t>
  </si>
  <si>
    <t>EXCLUSIVE HOME/AMALGAMATED TEXTILES</t>
  </si>
  <si>
    <t>849203042550</t>
  </si>
  <si>
    <t>PKaufmann Home Logan Sofa Navy ONE SIZE</t>
  </si>
  <si>
    <t>9671SOF</t>
  </si>
  <si>
    <t>86569387639</t>
  </si>
  <si>
    <t>Urban Dreams Chloe 6-Pc. Twin Comforter Set Multi Twin</t>
  </si>
  <si>
    <t>MCH10-2081</t>
  </si>
  <si>
    <t>783048111050</t>
  </si>
  <si>
    <t>Charisma Velvet Melange 20 Square Decor Pink 20x20</t>
  </si>
  <si>
    <t>CF3267DP1-1400</t>
  </si>
  <si>
    <t>191790038813</t>
  </si>
  <si>
    <t>AQ Textiles Luxura Home 650 thread count C Grey Queen</t>
  </si>
  <si>
    <t>25172103082AQT</t>
  </si>
  <si>
    <t>883893606005</t>
  </si>
  <si>
    <t>LUSTER SHAM QLT-</t>
  </si>
  <si>
    <t>USHSGZ1103825</t>
  </si>
  <si>
    <t>732998502388</t>
  </si>
  <si>
    <t>HP REV RUG 27X48</t>
  </si>
  <si>
    <t>HPREV2X4BWB</t>
  </si>
  <si>
    <t>BATH RUGS/ACC</t>
  </si>
  <si>
    <t>HUDSON PARK-EDI/MOHAWK HOME</t>
  </si>
  <si>
    <t>766195347602</t>
  </si>
  <si>
    <t>Tommy Hilfiger Tommy Hilfiger Bar Harbor Navy Navy No Size</t>
  </si>
  <si>
    <t>TH4281</t>
  </si>
  <si>
    <t>20X20</t>
  </si>
  <si>
    <t>TOMMY HILFIGER/HIMATSINGKA AMERICA</t>
  </si>
  <si>
    <t>706258587866</t>
  </si>
  <si>
    <t>Hudson Park 500TC Iron Free King Flat Shee Ivory</t>
  </si>
  <si>
    <t>5I57KFL790</t>
  </si>
  <si>
    <t>KING FLAT</t>
  </si>
  <si>
    <t>HUDSON PARK-EDI/RWI/LAMEIRINHO-BLM</t>
  </si>
  <si>
    <t>PIMA COTTON</t>
  </si>
  <si>
    <t>99600205113</t>
  </si>
  <si>
    <t>BABY TRIO</t>
  </si>
  <si>
    <t>080BBT</t>
  </si>
  <si>
    <t>ERBAVIVA LLC</t>
  </si>
  <si>
    <t>732998021094</t>
  </si>
  <si>
    <t>Charter Club Damask Designs Outline Cimaron Blue Twin</t>
  </si>
  <si>
    <t>100058459TW</t>
  </si>
  <si>
    <t>RTCOMFORTE</t>
  </si>
  <si>
    <t>CHARTER CLUB-EDI/RWI/LAMEIRINHO</t>
  </si>
  <si>
    <t>FABRIC: COTTON; THREAD COUNT: 300; POLYESTER FILL</t>
  </si>
  <si>
    <t>47724311197</t>
  </si>
  <si>
    <t>Miller Curtains Elegant Antique Satin Pair of Taupe 50x63</t>
  </si>
  <si>
    <t>X42707663ZBG</t>
  </si>
  <si>
    <t>NATCO/WINDHAM WEAVE/WINDHAM TRADING</t>
  </si>
  <si>
    <t>47225027801</t>
  </si>
  <si>
    <t>Dream Factory Dream Factory Sweet Butterfly Multi</t>
  </si>
  <si>
    <t>2-746401MU</t>
  </si>
  <si>
    <t>BRYAN KEITH/CHF INDUSTRIES</t>
  </si>
  <si>
    <t>849203014434</t>
  </si>
  <si>
    <t>PKaufmann Home Dble diamond wing Chocolate Wing Chair Slipcover</t>
  </si>
  <si>
    <t>9228WING</t>
  </si>
  <si>
    <t>ESPRESSO</t>
  </si>
  <si>
    <t>849203011549</t>
  </si>
  <si>
    <t>PKaufmann Home Microfiber ULT Love Slate Blue ONE SIZE</t>
  </si>
  <si>
    <t>MFSOLOVE</t>
  </si>
  <si>
    <t>194938008273</t>
  </si>
  <si>
    <t>Home Boutique CLOSEOUT 3-Piece Microfiber K White King</t>
  </si>
  <si>
    <t>16T006514</t>
  </si>
  <si>
    <t>783048111074</t>
  </si>
  <si>
    <t>Charisma Velvet Melange 32 x 16 Decor Pink 16x32</t>
  </si>
  <si>
    <t>CF3267DP3-1400</t>
  </si>
  <si>
    <t>VELVET</t>
  </si>
  <si>
    <t>693614011519</t>
  </si>
  <si>
    <t>Ella Jayne Big and Soft Mattress Pad - Fu White Full</t>
  </si>
  <si>
    <t>EJHFBBS2</t>
  </si>
  <si>
    <t>86569902825</t>
  </si>
  <si>
    <t>SunSmart Mirage 50 x 108 Damask Total Champagne 50x108</t>
  </si>
  <si>
    <t>SS40-0015</t>
  </si>
  <si>
    <t>LT/PAS YEL</t>
  </si>
  <si>
    <t>732998775379</t>
  </si>
  <si>
    <t>Hotel Collection LAST ACT Hotel Collection Hon Mink 20x20</t>
  </si>
  <si>
    <t>735732584787</t>
  </si>
  <si>
    <t>VCNY Home Stripe Noodle 24 x 60 Bath R greywhite ONE SIZE</t>
  </si>
  <si>
    <t>HTL-RUG-2460-I2-GYWH</t>
  </si>
  <si>
    <t>TEXTILES-EUROPE INC</t>
  </si>
  <si>
    <t>POLYESTER MICROFIBER</t>
  </si>
  <si>
    <t>10482365900</t>
  </si>
  <si>
    <t>EdieHome EdieHome Chevron Velvet Decor Black 20 x 20</t>
  </si>
  <si>
    <t>EAH087BK649698</t>
  </si>
  <si>
    <t>EDIE@HOME/LEVINSOHN TEXTILE CO INC</t>
  </si>
  <si>
    <t>POLYESTER WITH DUCK FEATHER FILL</t>
  </si>
  <si>
    <t>674811001800</t>
  </si>
  <si>
    <t>Lyndale Decor Lyndale Decor Crawford Room Da Teal 126 x 52</t>
  </si>
  <si>
    <t>CRAWFORD-126</t>
  </si>
  <si>
    <t>GREEN</t>
  </si>
  <si>
    <t>LYNDALE INTERNATIONAL INC</t>
  </si>
  <si>
    <t>GROMMET- METAL, FABRIC- 100% POLYESTER</t>
  </si>
  <si>
    <t>86569939913</t>
  </si>
  <si>
    <t>Madison Park Windom FullQueen Microfiber D Charcoal FullQueen</t>
  </si>
  <si>
    <t>MP51-5149</t>
  </si>
  <si>
    <t>CHARCOAL</t>
  </si>
  <si>
    <t>FABRIC: POLYESTER; FILL: POLYESTER</t>
  </si>
  <si>
    <t>783048110114</t>
  </si>
  <si>
    <t>Cottage Classics Cottage Classics Farmhouse Pla Blue Twin XL</t>
  </si>
  <si>
    <t>CS3251TXL-1500</t>
  </si>
  <si>
    <t>783048015808</t>
  </si>
  <si>
    <t>Style 212 Style 212 Bedford Red Full Q Blue And Blush FullQueen</t>
  </si>
  <si>
    <t>CS1900BLFQ-1500</t>
  </si>
  <si>
    <t>COMFORTER FACE IS 100% COTTON WITH 100% MICROFIBER REVERSE CLOTH AND FILLED WITH 100% POLYESTER FIBER FILLING.</t>
  </si>
  <si>
    <t>47293453700</t>
  </si>
  <si>
    <t>Sure Fit Stretch Morgan One Piece Slipc Chocolate Loveseat Slipcover</t>
  </si>
  <si>
    <t>150527270E233SFLOVE</t>
  </si>
  <si>
    <t>LT/PAS BWN</t>
  </si>
  <si>
    <t>789323311757</t>
  </si>
  <si>
    <t>Saro Lifestyle Saro Lifestyle Corinth Tile De Natural 20x20</t>
  </si>
  <si>
    <t>SARO TRADING COMPANY</t>
  </si>
  <si>
    <t>100% COTTON</t>
  </si>
  <si>
    <t>88377050996</t>
  </si>
  <si>
    <t>Vellux Plush Luxury Twin Blanket Burgundy Twin</t>
  </si>
  <si>
    <t>A1C7LG69843</t>
  </si>
  <si>
    <t>VELLUX/WESTPOINT HOME</t>
  </si>
  <si>
    <t>86569427724</t>
  </si>
  <si>
    <t>510 Design 510 Design 2 Piece Colt Room D Charcoal 37x84</t>
  </si>
  <si>
    <t>5DS40-0228</t>
  </si>
  <si>
    <t>706258587842</t>
  </si>
  <si>
    <t>Hudson Park 500TC Iron Free Queen Flat She Ivory</t>
  </si>
  <si>
    <t>5I55QFL790</t>
  </si>
  <si>
    <t>100% PIMA COTTON</t>
  </si>
  <si>
    <t>706258587859</t>
  </si>
  <si>
    <t>Hudson Park 500TC Iron Free Queen Fitted S Ivory</t>
  </si>
  <si>
    <t>5I56QFT790</t>
  </si>
  <si>
    <t>QNBOTTOMFT</t>
  </si>
  <si>
    <t>86569005755</t>
  </si>
  <si>
    <t>Intelligent Design Raina Metallic-Print 50 x 84 Grey 50x84</t>
  </si>
  <si>
    <t>ID40-1405</t>
  </si>
  <si>
    <t>32281230340</t>
  </si>
  <si>
    <t>Mickey Mouse 2-Pc. Twin Quilt Set Multi Twin</t>
  </si>
  <si>
    <t>JF23034</t>
  </si>
  <si>
    <t>734737620308</t>
  </si>
  <si>
    <t>Sunham Safari Reversible 12-Pc. Comfo Multi Full</t>
  </si>
  <si>
    <t>732998714576</t>
  </si>
  <si>
    <t>Hotel Collection LAST ACT Hotel Collection Cla Silver No Size</t>
  </si>
  <si>
    <t>MED GRAY</t>
  </si>
  <si>
    <t>191790044586</t>
  </si>
  <si>
    <t>AQ Textiles T800 6 piece Queen Sheet Set Light Grey Queen</t>
  </si>
  <si>
    <t>25992103200AQT</t>
  </si>
  <si>
    <t>191790043145</t>
  </si>
  <si>
    <t>AQ Textiles T800 6 piece Queen Sheet Set White Queen</t>
  </si>
  <si>
    <t>71202103001AQT</t>
  </si>
  <si>
    <t>191790043176</t>
  </si>
  <si>
    <t>AQ Textiles T800 6 piece King Sheet Set White King</t>
  </si>
  <si>
    <t>71202104001AQT</t>
  </si>
  <si>
    <t>191790043169</t>
  </si>
  <si>
    <t>71202103200AQT</t>
  </si>
  <si>
    <t>846339047442</t>
  </si>
  <si>
    <t>J Queen New York J Queen New York Astoria 49 x Sand 49x33</t>
  </si>
  <si>
    <t>1800121WTRSW</t>
  </si>
  <si>
    <t>MED BEIGE</t>
  </si>
  <si>
    <t>789323307293</t>
  </si>
  <si>
    <t>Saro Lifestyle Saro Lifestyle Canberra Geomet Navy 20x20</t>
  </si>
  <si>
    <t>810001364595</t>
  </si>
  <si>
    <t>Southshore Fine Linens Southshore Fine Linens Oversiz Purple FullQueen</t>
  </si>
  <si>
    <t>VILQLTPRPQ</t>
  </si>
  <si>
    <t>SOUTHSHORE FINE LIN/BARGAIN ONLINE</t>
  </si>
  <si>
    <t>DOUBLE - BRUSHED 110 GSM MICROFIBER</t>
  </si>
  <si>
    <t>86569038128</t>
  </si>
  <si>
    <t>JLA Home Sleep Philosophy Bamboo King S Ivory King</t>
  </si>
  <si>
    <t>BASI30-0525</t>
  </si>
  <si>
    <t>KING</t>
  </si>
  <si>
    <t>WONDER WOOL/JLA HOME/E &amp; E CO LTD</t>
  </si>
  <si>
    <t>BODY: POLYESTER/ BAMBOO;</t>
  </si>
  <si>
    <t>635983499109</t>
  </si>
  <si>
    <t>Ella Jayne Soft Plush Gel Fiber Filled Al White Standard</t>
  </si>
  <si>
    <t>BMI9453L1</t>
  </si>
  <si>
    <t>SHELL: 220 THREAD COUNT POLYESTER MICROFIBER, FILL: 100% POLY FIBER FINE GEL FIBERS</t>
  </si>
  <si>
    <t>885308318978</t>
  </si>
  <si>
    <t>Eclipse Nadya Solid Thermalayer Linen 52x84</t>
  </si>
  <si>
    <t>14380052084LIN</t>
  </si>
  <si>
    <t>KEECO LLC/GRASSI ASSOCIATES INC</t>
  </si>
  <si>
    <t>POLYESTER/COTTON/RAYON/LINEN/ LINING:POLYESTER</t>
  </si>
  <si>
    <t>47293325359</t>
  </si>
  <si>
    <t>Sure Fit Soft Faux Suede Chair Slipcove Taupe Chair Slipcover</t>
  </si>
  <si>
    <t>789323320070</t>
  </si>
  <si>
    <t>Saro Lifestyle Saro Lifestyle Waffle Weave Th Ivory 50x60</t>
  </si>
  <si>
    <t>TH021</t>
  </si>
  <si>
    <t>VALA78X7</t>
  </si>
  <si>
    <t>100% ACRYLIC</t>
  </si>
  <si>
    <t>675716611323</t>
  </si>
  <si>
    <t>INKIVY Stockholm Color Block Throw Yellow Throw</t>
  </si>
  <si>
    <t>II50-240</t>
  </si>
  <si>
    <t>ACRYLIC</t>
  </si>
  <si>
    <t>646998691372</t>
  </si>
  <si>
    <t>Peri Home Peri Home Chenille Scallop 50 Blush ONE SIZE</t>
  </si>
  <si>
    <t>1-90370ABH</t>
  </si>
  <si>
    <t>PERI HOME/CHF INDUSTRIES</t>
  </si>
  <si>
    <t>783048998156</t>
  </si>
  <si>
    <t>My World Reversible 4-Pc. Navy Plaid Pa Multi FullQueen</t>
  </si>
  <si>
    <t>QS1638FU4-2600</t>
  </si>
  <si>
    <t>883893555648</t>
  </si>
  <si>
    <t>Nautica Clearview Ivory Quilted Europe Ivory European Sham</t>
  </si>
  <si>
    <t>USHSGZ1074194</t>
  </si>
  <si>
    <t>NAUTICA/REVMAN INTERNATIONAL</t>
  </si>
  <si>
    <t>732998714484</t>
  </si>
  <si>
    <t>Hotel Collection LAST ACT Hotel Collection Cla Silver King</t>
  </si>
  <si>
    <t>100078565KG</t>
  </si>
  <si>
    <t>675716500979</t>
  </si>
  <si>
    <t>Echo Echo Guinevere European Sham French Vanilla</t>
  </si>
  <si>
    <t>EO11-1220A</t>
  </si>
  <si>
    <t>26X26</t>
  </si>
  <si>
    <t>ECHO/JLA HOME/E &amp; E CO LTD</t>
  </si>
  <si>
    <t>COTTON WITH A SOFT LINEN-LIKE TEXTURE. EMBROIDERY.</t>
  </si>
  <si>
    <t>47293459207</t>
  </si>
  <si>
    <t>Sure Fit Stretch Delicate Leaf One Piec Tan Sofa Slipcover</t>
  </si>
  <si>
    <t>178727270ES231</t>
  </si>
  <si>
    <t>734737474963</t>
  </si>
  <si>
    <t>Lacoste Home Solid Percale Full Sheet Set Plum Full</t>
  </si>
  <si>
    <t>DARKPURPLE</t>
  </si>
  <si>
    <t>LACOSTE/SUNHAM HOME FASHIONS</t>
  </si>
  <si>
    <t>COTTON PERCALE</t>
  </si>
  <si>
    <t>86569017963</t>
  </si>
  <si>
    <t>Urban Habitat Brooklyn 42 x 84 Cotton Jacq Pink 42x84</t>
  </si>
  <si>
    <t>UH40-2172</t>
  </si>
  <si>
    <t>BODY: COTTON;</t>
  </si>
  <si>
    <t>679610813364</t>
  </si>
  <si>
    <t>Hallmart Collectibles Ada 12-Pc. Comforter Sets Fuchsia Full</t>
  </si>
  <si>
    <t>MED PINK</t>
  </si>
  <si>
    <t>HALLMART COLLECTIBLES INC</t>
  </si>
  <si>
    <t>711081329330</t>
  </si>
  <si>
    <t>Exclusive Fabrics Furnishing Exclusive Fabrics Furnishing Natural 50 x 108</t>
  </si>
  <si>
    <t>SHCH-5208-108</t>
  </si>
  <si>
    <t>734737619463</t>
  </si>
  <si>
    <t>Fairfield Square Collection Carmen Reversible 8-Pc. Comfor Multi Twin XL</t>
  </si>
  <si>
    <t>21453022A</t>
  </si>
  <si>
    <t>885308364562</t>
  </si>
  <si>
    <t>Vue Arashi Ombre 52 x 84 Curtain Gray 52x84</t>
  </si>
  <si>
    <t>14900052084GRE</t>
  </si>
  <si>
    <t>86569284983</t>
  </si>
  <si>
    <t>Madison Park Madison Park Simone 42 x 216 Navy 42x216</t>
  </si>
  <si>
    <t>MP40-6625</t>
  </si>
  <si>
    <t>810026172694</t>
  </si>
  <si>
    <t>Cheer Collection Faux Fur 20 x 20 Throw Pillo Brown 20x20</t>
  </si>
  <si>
    <t>CC-FFPL2PK-20X20-CHO</t>
  </si>
  <si>
    <t>BROWN</t>
  </si>
  <si>
    <t>DIGITALPRINTS USA CORP</t>
  </si>
  <si>
    <t>FAUX FUR</t>
  </si>
  <si>
    <t>38992936328</t>
  </si>
  <si>
    <t>Waterford Astrid Jacquard 20 x 20 Deco White 20x20</t>
  </si>
  <si>
    <t>DPASRDW10020X20</t>
  </si>
  <si>
    <t>W-C HOME FASHIONS LLC</t>
  </si>
  <si>
    <t>190945099747</t>
  </si>
  <si>
    <t>Levtex Catalina Fish Print Reversible Blue 50x60</t>
  </si>
  <si>
    <t>L10390QT</t>
  </si>
  <si>
    <t>LEVTEX BABY/LEVTEX LLC</t>
  </si>
  <si>
    <t>841713154563</t>
  </si>
  <si>
    <t>8 Oak Lane TWO WAY SEQUIN PILLOW JUST MAR Multi ONE SIZE</t>
  </si>
  <si>
    <t>EC122MAR</t>
  </si>
  <si>
    <t>BRNOVERFLW</t>
  </si>
  <si>
    <t>8 OAK LANE LLC</t>
  </si>
  <si>
    <t>190945090041</t>
  </si>
  <si>
    <t>Levtex Camden Buffalo Check Reversibl Gray 50x60</t>
  </si>
  <si>
    <t>L17210QT</t>
  </si>
  <si>
    <t>47293453632</t>
  </si>
  <si>
    <t>Sure Fit Stretch Morgan One Piece Slipc Gray Chair Slipcover</t>
  </si>
  <si>
    <t>150527270E021SFCHR</t>
  </si>
  <si>
    <t>693614011496</t>
  </si>
  <si>
    <t>Ella Jayne Classic Quilted Mattress Prote White King</t>
  </si>
  <si>
    <t>EJHMPCQ4</t>
  </si>
  <si>
    <t>86569987433</t>
  </si>
  <si>
    <t>Madison Park Ceres 50 x 95 Twisted Tab To White 50x95</t>
  </si>
  <si>
    <t>MP40-5469</t>
  </si>
  <si>
    <t>86569150677</t>
  </si>
  <si>
    <t>SunSmart Mirage 50 x 84 Damask Total Navy 50x84</t>
  </si>
  <si>
    <t>SS40-0101</t>
  </si>
  <si>
    <t>BODY: POLYESTER;</t>
  </si>
  <si>
    <t>693614011564</t>
  </si>
  <si>
    <t>Ella Jayne Waterproof and Hypoallergenic White Queen</t>
  </si>
  <si>
    <t>EJHMPWP3</t>
  </si>
  <si>
    <t>QNMATTRESS</t>
  </si>
  <si>
    <t>883893590663</t>
  </si>
  <si>
    <t>ED Ellen Degeneres Dream Sham Grey Standard Sham</t>
  </si>
  <si>
    <t>USHSGY1092858</t>
  </si>
  <si>
    <t>STDTAILOR</t>
  </si>
  <si>
    <t>ELLEN DEGENERES/REVMAN INTERNATIONL</t>
  </si>
  <si>
    <t>LYOCELL, LINEN FACE, COTTON REVERSE</t>
  </si>
  <si>
    <t>86569909824</t>
  </si>
  <si>
    <t>SunSmart Julie 50 x 84 Textured Botan Yellow 50x84</t>
  </si>
  <si>
    <t>SS40-0022</t>
  </si>
  <si>
    <t>815632018121</t>
  </si>
  <si>
    <t>PKaufmann Home Coral Fleece Throw Chair Slipc Natural Chair Slipcover</t>
  </si>
  <si>
    <t>CLFCM601</t>
  </si>
  <si>
    <t>734737485389</t>
  </si>
  <si>
    <t>QUILTED SC BASIC</t>
  </si>
  <si>
    <t>STANDARD</t>
  </si>
  <si>
    <t>TED BAKER/SUNHAM HOME FASHIONS</t>
  </si>
  <si>
    <t>783048137418</t>
  </si>
  <si>
    <t>Truly Calm Truly Calm Antimicrobial 3 Pie Navy FullQueen</t>
  </si>
  <si>
    <t>DCS3829NVFQ-00</t>
  </si>
  <si>
    <t>671826973863</t>
  </si>
  <si>
    <t>Siscovers Siscovers Cottage Pewter Strip Natural</t>
  </si>
  <si>
    <t>COPE-P17</t>
  </si>
  <si>
    <t>SISCOVERS/SIS ENTERPRISES INC</t>
  </si>
  <si>
    <t>COTTON, POLYESTER</t>
  </si>
  <si>
    <t>636047402059</t>
  </si>
  <si>
    <t>Barefoot Bungalow Barefoot Bungalow Ibiza Throw Multi Throw</t>
  </si>
  <si>
    <t>GL-1901CTHR</t>
  </si>
  <si>
    <t>GREENLAND HOME FASHIONS</t>
  </si>
  <si>
    <t>100% COTTON FACE, 100% ULTRA-SOFT MICROFIBER POLYESTER BACK, FILL- COTTON, POLYESTER</t>
  </si>
  <si>
    <t>47293459160</t>
  </si>
  <si>
    <t>Sure Fit Stretch Delicate Leaf One Piec Gray Loveseat Slipcover</t>
  </si>
  <si>
    <t>178727270EL021</t>
  </si>
  <si>
    <t>734737620285</t>
  </si>
  <si>
    <t>Sunham Safari Reversible 12-Pc. Comfo Multi Twin</t>
  </si>
  <si>
    <t>636206543050</t>
  </si>
  <si>
    <t>JM Collection EDV PRNT CF SHIRT Bold Berry Paisley 18</t>
  </si>
  <si>
    <t>IQ14SPC790</t>
  </si>
  <si>
    <t>HUDSON PARK-EDI/RWI/ITALIAN PERCALE</t>
  </si>
  <si>
    <t>MADE IN ITALY</t>
  </si>
  <si>
    <t>9339296050330</t>
  </si>
  <si>
    <t>MUSIC BAND SET EN</t>
  </si>
  <si>
    <t>S15BANUN</t>
  </si>
  <si>
    <t>TOWELS</t>
  </si>
  <si>
    <t>SUNNYLIFE LLC</t>
  </si>
  <si>
    <t>80% WOOD (LOTUS)/10% PLYWOOD/10% PVC</t>
  </si>
  <si>
    <t>789323266378</t>
  </si>
  <si>
    <t>Saro Lifestyle Saro Lifestyle Le Tournesol Em Orange 18x18</t>
  </si>
  <si>
    <t>434P</t>
  </si>
  <si>
    <t>ORANGE</t>
  </si>
  <si>
    <t>12 SGL</t>
  </si>
  <si>
    <t>COTTON, LINEN</t>
  </si>
  <si>
    <t>732995128857</t>
  </si>
  <si>
    <t>HP TURKISH SHEET</t>
  </si>
  <si>
    <t>HPTURFSSWG</t>
  </si>
  <si>
    <t>MED GREEN</t>
  </si>
  <si>
    <t>KG/BATHSHT</t>
  </si>
  <si>
    <t>HUDSON PARK</t>
  </si>
  <si>
    <t>MADE IN TURKEY</t>
  </si>
  <si>
    <t>100% TURKISH COTTON</t>
  </si>
  <si>
    <t>734737619456</t>
  </si>
  <si>
    <t>Fairfield Square Collection Carmen Reversible 8-Pc. Comfor Multi Twin</t>
  </si>
  <si>
    <t>789323299826</t>
  </si>
  <si>
    <t>Saro Lifestyle Saro Lifestyle Metallic Banded Silver 20x20</t>
  </si>
  <si>
    <t>814942023030</t>
  </si>
  <si>
    <t>E by Design 16 Inch Teal Decorative Stripe Teal</t>
  </si>
  <si>
    <t>PSN138BL11-16</t>
  </si>
  <si>
    <t>E BY DESIGN LLC</t>
  </si>
  <si>
    <t>814942021678</t>
  </si>
  <si>
    <t>E by Design 16 Inch Gray and Yellow Decora Gray</t>
  </si>
  <si>
    <t>PGN360GY3YE6-16</t>
  </si>
  <si>
    <t>814942028547</t>
  </si>
  <si>
    <t>E by Design Anchor Stripe 16 Inch Red Deco Red</t>
  </si>
  <si>
    <t>PSN444RE1-16</t>
  </si>
  <si>
    <t>RED</t>
  </si>
  <si>
    <t>814942028424</t>
  </si>
  <si>
    <t>E by Design Marled Knit 16 Inch Taupe Deco Taupebeig</t>
  </si>
  <si>
    <t>PGN451TA8-16</t>
  </si>
  <si>
    <t>86569280305</t>
  </si>
  <si>
    <t>Madison Park Cecily Printed Grommet 50 x 8 Mauve 50x84</t>
  </si>
  <si>
    <t>MP40-6605</t>
  </si>
  <si>
    <t>675716969318</t>
  </si>
  <si>
    <t>Madison Park Cecily Printed Grommet 50 x 8 Grey 50x84</t>
  </si>
  <si>
    <t>MP40-4609</t>
  </si>
  <si>
    <t>83013240489</t>
  </si>
  <si>
    <t>Croscill Delilah Euro Sham Spice European Sham</t>
  </si>
  <si>
    <t>2A0-502O0-9009</t>
  </si>
  <si>
    <t>EX-CELL HOME FASHIONS INC</t>
  </si>
  <si>
    <t>800298596861</t>
  </si>
  <si>
    <t>DKNY Refresh Embroidered 12 x 16 White</t>
  </si>
  <si>
    <t>RFD001009PLE</t>
  </si>
  <si>
    <t>DONNA KARAN HOME/CHF INDUSTRIES</t>
  </si>
  <si>
    <t>646998689560</t>
  </si>
  <si>
    <t>Curtainworks Kendall Blackout 50 in. W x 63 Chocolatebeige 50x63</t>
  </si>
  <si>
    <t>1-806606CT</t>
  </si>
  <si>
    <t>DARK BROWN</t>
  </si>
  <si>
    <t>CHF INDUSTRIES INC</t>
  </si>
  <si>
    <t>POLYESTER; LINING: POLYESTER</t>
  </si>
  <si>
    <t>883893617940</t>
  </si>
  <si>
    <t>Nautica Nautica Hayward Standard Sham Multi Blue Standard Sham</t>
  </si>
  <si>
    <t>675716802233</t>
  </si>
  <si>
    <t>Madison Park Elma Oversized Reversible 60 Tan 60x70</t>
  </si>
  <si>
    <t>MP50-3252</t>
  </si>
  <si>
    <t>FACE: POLYESTER</t>
  </si>
  <si>
    <t>86569284976</t>
  </si>
  <si>
    <t>Madison Park Madison Park Simone 42 x 144 Navy 42x144</t>
  </si>
  <si>
    <t>MP40-6624</t>
  </si>
  <si>
    <t>844353602548</t>
  </si>
  <si>
    <t>Rizzy Home Rizzy Home Chevron Polyester F Gray</t>
  </si>
  <si>
    <t>PILT06161GYWH1818</t>
  </si>
  <si>
    <t>709271376547</t>
  </si>
  <si>
    <t>131BODY-TX-G1-D3</t>
  </si>
  <si>
    <t>170 GRAMS PER SQUARE METER COTTON/MODAL</t>
  </si>
  <si>
    <t>734737474956</t>
  </si>
  <si>
    <t>Lacoste Home Solid Percale Twin Sheet Set Plum Twin</t>
  </si>
  <si>
    <t>192664638856</t>
  </si>
  <si>
    <t>Baldwin Claude Monet Wheatstacks Snow Multi-colored Decorative Pillow</t>
  </si>
  <si>
    <t>AA00691-PIL1616</t>
  </si>
  <si>
    <t>732997299722</t>
  </si>
  <si>
    <t>HP TILE BATH BASIC</t>
  </si>
  <si>
    <t>BATH TOWEL</t>
  </si>
  <si>
    <t>732999742189</t>
  </si>
  <si>
    <t>Whim by Martha Stewart Crushed Velvet 54 x 20 Body Blue</t>
  </si>
  <si>
    <t>54X20</t>
  </si>
  <si>
    <t>MRTH STWRT WH</t>
  </si>
  <si>
    <t>MMG-MARTHA STEW/E AND E (JLA HOME)</t>
  </si>
  <si>
    <t>732997629338</t>
  </si>
  <si>
    <t>Charter Club Damask Designs Honeycomb 50 x Blue Throw</t>
  </si>
  <si>
    <t>675716545833</t>
  </si>
  <si>
    <t>Sleep Philosophy Plaid Micro-Fleece King Blanke Tan King</t>
  </si>
  <si>
    <t>BL51-0686</t>
  </si>
  <si>
    <t>732997629352</t>
  </si>
  <si>
    <t>Charter Club Damask Designs Honeycomb 50 x Yellow Throw</t>
  </si>
  <si>
    <t>807882432147</t>
  </si>
  <si>
    <t>THRO James Pleated Velvet Pillow, 2 Silver</t>
  </si>
  <si>
    <t>TH016056004E</t>
  </si>
  <si>
    <t>THRO/JIMCO LAMP &amp; MANUFACTURING CO</t>
  </si>
  <si>
    <t>190714392758</t>
  </si>
  <si>
    <t>Lacourte Woven 2 Pack 20 x 20 Decorat Navy 18x18</t>
  </si>
  <si>
    <t>1128867NAVY20X20</t>
  </si>
  <si>
    <t>ENVOGUE INTERNATIONAL LLC</t>
  </si>
  <si>
    <t>734737615526</t>
  </si>
  <si>
    <t>Sunham Haven Cotton 350-Thread Count Dusty Rose Printed King</t>
  </si>
  <si>
    <t>885308456908</t>
  </si>
  <si>
    <t>Eclipse Tricia Patio Door Panel River Blue 100x84</t>
  </si>
  <si>
    <t>15945100X084RVB</t>
  </si>
  <si>
    <t>628961003788</t>
  </si>
  <si>
    <t>Kensington Garden Warwick 400 Thread Count Sage Ivory Queen</t>
  </si>
  <si>
    <t>JET10147</t>
  </si>
  <si>
    <t>JETRICH CANADA LIMITED</t>
  </si>
  <si>
    <t>628961003832</t>
  </si>
  <si>
    <t>Kensington Garden Warwick 400 Thread Count Sage Ivory King</t>
  </si>
  <si>
    <t>JET10152</t>
  </si>
  <si>
    <t>86569284907</t>
  </si>
  <si>
    <t>Madison Park Madison Park Simone 50 x 95 Grey 50x95</t>
  </si>
  <si>
    <t>MP40-6617</t>
  </si>
  <si>
    <t>86569284877</t>
  </si>
  <si>
    <t>Madison Park Madison Park Simone 50 x 84 Grey 50x84</t>
  </si>
  <si>
    <t>MP40-6614</t>
  </si>
  <si>
    <t>674811001398</t>
  </si>
  <si>
    <t>Lyndale Decor Lyndale Decor Aberdeen Blackou Cream 95 x 45</t>
  </si>
  <si>
    <t>ABERDEEN-95</t>
  </si>
  <si>
    <t>732997233023</t>
  </si>
  <si>
    <t>Hotel Collection CLOSEOUT Hotel Collection Lin Gold European Sham</t>
  </si>
  <si>
    <t>100058744ER</t>
  </si>
  <si>
    <t>POLYESTER/RAYON/COTTON; FILL: POLYESTER</t>
  </si>
  <si>
    <t>628961001432</t>
  </si>
  <si>
    <t>Small World Home 16x24 Stars Stripe Pillow Blue No Size</t>
  </si>
  <si>
    <t>STARS AND STRIPES</t>
  </si>
  <si>
    <t>16X24</t>
  </si>
  <si>
    <t>628961001425</t>
  </si>
  <si>
    <t>Small World Home 18x18 Star Pillow Navy No Size</t>
  </si>
  <si>
    <t>STAR</t>
  </si>
  <si>
    <t>628961001449</t>
  </si>
  <si>
    <t>Small World Home 18x18 Home Sweet Home Pillow Neutral No Size</t>
  </si>
  <si>
    <t>HOME SWEET HOME</t>
  </si>
  <si>
    <t>732998502357</t>
  </si>
  <si>
    <t>HP REV RUG 21X33</t>
  </si>
  <si>
    <t>HPREV2X3BWB</t>
  </si>
  <si>
    <t>96675641006</t>
  </si>
  <si>
    <t>SensorPEDIC Gel-Overlay Memory Foam Comfor White Standard</t>
  </si>
  <si>
    <t>SOFT-TEX MFG CO/SOFT-TEX INT'L INC</t>
  </si>
  <si>
    <t>RAYON/POLYESTER</t>
  </si>
  <si>
    <t>86569904676</t>
  </si>
  <si>
    <t>Madison Park Elena 38 x 46 Faux-Silk Rod Champagne 38x46</t>
  </si>
  <si>
    <t>MP41-4952</t>
  </si>
  <si>
    <t>FAUX-SILK FABRIC: POLYESTER</t>
  </si>
  <si>
    <t>610406820715</t>
  </si>
  <si>
    <t>Homey Cozy Homey Cozy Allison Modern Velv Gray 20x20</t>
  </si>
  <si>
    <t>75127-GRAY</t>
  </si>
  <si>
    <t>HOME ACCENT PILLOW INC</t>
  </si>
  <si>
    <t>POLYESTER VELVET</t>
  </si>
  <si>
    <t>610406821125</t>
  </si>
  <si>
    <t>Homey Cozy Homey Cozy Skylar Velvet Squar Turquoise 20x20</t>
  </si>
  <si>
    <t>71037-TURQUOISE</t>
  </si>
  <si>
    <t>86569413444</t>
  </si>
  <si>
    <t>SunSmart SunSmart 2 Piece Taren Solid B Navy 42x63</t>
  </si>
  <si>
    <t>SS40-0157</t>
  </si>
  <si>
    <t>86569341372</t>
  </si>
  <si>
    <t>JLA Home Lily Mosaic 3pc Bath Accessor Silver No Size</t>
  </si>
  <si>
    <t>MCH71-1677</t>
  </si>
  <si>
    <t>800298566048</t>
  </si>
  <si>
    <t>DKNY Modern Bloom 50 x 63 Curtain Blue 50x63</t>
  </si>
  <si>
    <t>WZD788343W06</t>
  </si>
  <si>
    <t>728455263282</t>
  </si>
  <si>
    <t>MILAGRO SOLID BASIC</t>
  </si>
  <si>
    <t>T320TMTOWOP</t>
  </si>
  <si>
    <t>TUB MAT</t>
  </si>
  <si>
    <t>MATOUK/JOHN MATOUK AND CO INC</t>
  </si>
  <si>
    <t>732998714446</t>
  </si>
  <si>
    <t>Hotel Collection LAST ACT Hotel Collection Cla Silver King Sham</t>
  </si>
  <si>
    <t>100078485KG</t>
  </si>
  <si>
    <t>746885368766</t>
  </si>
  <si>
    <t>Miller Curtains Miller Curtains Preston 48 x Stone Grey 48x216</t>
  </si>
  <si>
    <t>WC703444140216</t>
  </si>
  <si>
    <t>746885368803</t>
  </si>
  <si>
    <t>Miller Curtains Miller Curtains Preston 48 x Crimson 48x216</t>
  </si>
  <si>
    <t>WC703444277216</t>
  </si>
  <si>
    <t>WINE</t>
  </si>
  <si>
    <t>675716964047</t>
  </si>
  <si>
    <t>Madison Park Madison Park Andora 50 x 18 Grey 50x18</t>
  </si>
  <si>
    <t>MP41-4573</t>
  </si>
  <si>
    <t>732998429791</t>
  </si>
  <si>
    <t>Charter Club Damask Designs Blossom 14 x 2 Coral 14x24</t>
  </si>
  <si>
    <t>MMG-CHARTER CLUB/KAVSET EXPO</t>
  </si>
  <si>
    <t>766360125790</t>
  </si>
  <si>
    <t>HP TURKISH SHEET BASIC</t>
  </si>
  <si>
    <t>HPTURFBL</t>
  </si>
  <si>
    <t>608381820660</t>
  </si>
  <si>
    <t>HPTURFBAQU</t>
  </si>
  <si>
    <t>732997385074</t>
  </si>
  <si>
    <t>Home Design Studio Spot Chenille 20 x 20 Decora Pink 20x20</t>
  </si>
  <si>
    <t>DEC PIL/THRWS</t>
  </si>
  <si>
    <t>MMG-HOME DESIGN STUDIO/SARITA HANDA</t>
  </si>
  <si>
    <t>807882437760</t>
  </si>
  <si>
    <t>THRO James Pleated Velvet Pillow, 2 Black</t>
  </si>
  <si>
    <t>TH016057006E</t>
  </si>
  <si>
    <t>807882393240</t>
  </si>
  <si>
    <t>THRO Kia Marble Raised Foil Pillow, Multi 18x18</t>
  </si>
  <si>
    <t>TH014621001E</t>
  </si>
  <si>
    <t>807882432178</t>
  </si>
  <si>
    <t>THRO James Pleated Velvet Pillow, 2 Open White</t>
  </si>
  <si>
    <t>TH016057003E</t>
  </si>
  <si>
    <t>807882434479</t>
  </si>
  <si>
    <t>THRO Ibenz Ice Velvet Pillow, 14 x Purple</t>
  </si>
  <si>
    <t>TH014510002E</t>
  </si>
  <si>
    <t>789323345851</t>
  </si>
  <si>
    <t>Saro Lifestyle Saro Lifestyle Eucalyptus Prin Natural 18x18</t>
  </si>
  <si>
    <t>21166127684</t>
  </si>
  <si>
    <t>Harper Lane Harper Lane Furniture Protecto Blue Chair Slipcover</t>
  </si>
  <si>
    <t>12768A</t>
  </si>
  <si>
    <t>UNIVERSAL HOME FASH/WELCOME INDUST</t>
  </si>
  <si>
    <t>732999786930</t>
  </si>
  <si>
    <t>Hotel Collection Ultimate MicroCotton 20th Anni Charred Brown</t>
  </si>
  <si>
    <t>PB TOWELS</t>
  </si>
  <si>
    <t>MMG-HOTEL BY CC</t>
  </si>
  <si>
    <t>86569897305</t>
  </si>
  <si>
    <t>Madison Park Zuri Faux-Fur 14 x 20 Oblong Gray 14x20</t>
  </si>
  <si>
    <t>MP30-4835</t>
  </si>
  <si>
    <t>FAUX-FUR FABRIC: POLYESTER; POLYESTER FILL</t>
  </si>
  <si>
    <t>885308361929</t>
  </si>
  <si>
    <t>Beautyrest Garden Glory 16X16 Dec Mist No Size</t>
  </si>
  <si>
    <t>14914016X016MST</t>
  </si>
  <si>
    <t>706258825302</t>
  </si>
  <si>
    <t>HPTURFTPNK</t>
  </si>
  <si>
    <t>BRGHT PINK</t>
  </si>
  <si>
    <t>706258825258</t>
  </si>
  <si>
    <t>HPTURFTAQU</t>
  </si>
  <si>
    <t>706258825203</t>
  </si>
  <si>
    <t>HPTURFTL</t>
  </si>
  <si>
    <t>789323332325</t>
  </si>
  <si>
    <t>Saro Lifestyle Saro Lifestyle Mongolian Faux Beige 12x20</t>
  </si>
  <si>
    <t>706-1220B</t>
  </si>
  <si>
    <t>9339296048627</t>
  </si>
  <si>
    <t>SHOWER BT SPEAKER</t>
  </si>
  <si>
    <t>S1FSHOPS</t>
  </si>
  <si>
    <t>70% ABS/30% SILICONE</t>
  </si>
  <si>
    <t>646760114030</t>
  </si>
  <si>
    <t>French Connection French Connection Arta Stonewa Charcoal 20 x 34</t>
  </si>
  <si>
    <t>FCB000038</t>
  </si>
  <si>
    <t>CREATIVE HOME IDEAS/YMF CARPET INC</t>
  </si>
  <si>
    <t>807882421141</t>
  </si>
  <si>
    <t>THRO Thro Polyester Fill Dolly Farm Gray</t>
  </si>
  <si>
    <t>TH015622003E</t>
  </si>
  <si>
    <t>7477135223773</t>
  </si>
  <si>
    <t>Stratton Home Decor Stratton Home Decor Stripe Pil Beige Decorative Pillow</t>
  </si>
  <si>
    <t>S16478</t>
  </si>
  <si>
    <t>STRATTON HOME DECOR</t>
  </si>
  <si>
    <t>COVER - POLYESTER, COTTON, FILL - 100% POLYESTER</t>
  </si>
  <si>
    <t>675716682811</t>
  </si>
  <si>
    <t>Madison Park Saratoga 50 x 18 Fretwork-Pr BeigeSpice 50x18</t>
  </si>
  <si>
    <t>MP41-2030</t>
  </si>
  <si>
    <t>LT BEIGE</t>
  </si>
  <si>
    <t>FABRIC: POLYESTER/COTTON/RAYON</t>
  </si>
  <si>
    <t>675716714826</t>
  </si>
  <si>
    <t>Madison Park Saratoga 50 x 18 Fretwork-Pr Khaki 50x18</t>
  </si>
  <si>
    <t>MP41-2411</t>
  </si>
  <si>
    <t>732998714453</t>
  </si>
  <si>
    <t>Hotel Collection LAST ACT Hotel Collection Cla Silver Standard Sham</t>
  </si>
  <si>
    <t>100078485SD</t>
  </si>
  <si>
    <t>86569030528</t>
  </si>
  <si>
    <t>JLA Home Intelligent Design Extended Tw Navy Twin XL</t>
  </si>
  <si>
    <t>ID11-1413</t>
  </si>
  <si>
    <t>85GSM, POLYESTER MICROFIBER</t>
  </si>
  <si>
    <t>636189916018</t>
  </si>
  <si>
    <t>Lucky Brand Diamond Tuft Standard Sham White Standard Sham</t>
  </si>
  <si>
    <t>10130015SD</t>
  </si>
  <si>
    <t>CHTR CLB KIDS</t>
  </si>
  <si>
    <t>LUCKY - MMG</t>
  </si>
  <si>
    <t>85214124254</t>
  </si>
  <si>
    <t>Everything Kids Everything Kids Dinosaur Nap M Blue ONE SIZE</t>
  </si>
  <si>
    <t>4128392P</t>
  </si>
  <si>
    <t>NOJO BABY &amp; KIDS INC</t>
  </si>
  <si>
    <t>85214124285</t>
  </si>
  <si>
    <t>Everything Kids Everything Kids Construction N Grey ONE SIZE</t>
  </si>
  <si>
    <t>4131392P</t>
  </si>
  <si>
    <t>636047406279</t>
  </si>
  <si>
    <t>Barefoot Bungalow Barefoot Bungalow Phoenix Wind Brown 52x36</t>
  </si>
  <si>
    <t>GL-1904CWV</t>
  </si>
  <si>
    <t>675716783532</t>
  </si>
  <si>
    <t>INKIVY Bree Chunky-Knit 12 x 20 Obl Charcoal 12x20</t>
  </si>
  <si>
    <t>II30-741</t>
  </si>
  <si>
    <t>FABRIC: ACRYLIC 410 GRAMS PER SQUARE METER; LINING: COTTON</t>
  </si>
  <si>
    <t>190714421502</t>
  </si>
  <si>
    <t>Lacourte 20 x 20 Home is Where Mom Is Multi 20x20</t>
  </si>
  <si>
    <t>1131000MULTI20X20</t>
  </si>
  <si>
    <t>735732744372</t>
  </si>
  <si>
    <t>VCNY Home Mallory 18x18 Pillow Cream 18x18</t>
  </si>
  <si>
    <t>MLO-PLW-1818-IN-CLDC</t>
  </si>
  <si>
    <t>VICTORIA/TEXTILES FROM EUROPE</t>
  </si>
  <si>
    <t>675716665814</t>
  </si>
  <si>
    <t>Madison Park Ruched 20 Square Faux-Fur Dec Gray 20x20</t>
  </si>
  <si>
    <t>MP30-1864</t>
  </si>
  <si>
    <t>FAUX-FUR FACE: POLYESTER 220 GRAMS PER SQUARE METER; FAUX-FUR REVERSE: POLYESTER 180 GRAMS PER SQUARE METER; POLYESTER FILL</t>
  </si>
  <si>
    <t>190714413927</t>
  </si>
  <si>
    <t>Lacourte 20 x 20 Janae Decorative Pil Multi 20x20</t>
  </si>
  <si>
    <t>1130481MULTI20X20</t>
  </si>
  <si>
    <t>190714413910</t>
  </si>
  <si>
    <t>Lacourte 14 x 24 Isla Decorative Pill Yellow 14x24</t>
  </si>
  <si>
    <t>1130480YEL14X24</t>
  </si>
  <si>
    <t>766195314659</t>
  </si>
  <si>
    <t>Tommy Hilfiger Tommy Hilfiger Solid Core Twin Raspberry Twin</t>
  </si>
  <si>
    <t>TH0889</t>
  </si>
  <si>
    <t>200-THREAD COUNT COTTON PERCALE</t>
  </si>
  <si>
    <t>735732463020</t>
  </si>
  <si>
    <t>Seventh Studio Guy Scatter Rug Blue No Size</t>
  </si>
  <si>
    <t>GUY-ARU-2745-MA-BLUE</t>
  </si>
  <si>
    <t>27399031996</t>
  </si>
  <si>
    <t>Martex SuperSoft Fleece Twin Blanket Arona Twin</t>
  </si>
  <si>
    <t>A0PR031996</t>
  </si>
  <si>
    <t>709271377735</t>
  </si>
  <si>
    <t>111BODY-ST-G1-D6</t>
  </si>
  <si>
    <t>PILLOWCASE</t>
  </si>
  <si>
    <t>886087309836</t>
  </si>
  <si>
    <t>BOWERY BASIC</t>
  </si>
  <si>
    <t>MADE IN INDIA</t>
  </si>
  <si>
    <t>783048148933</t>
  </si>
  <si>
    <t>Pem America Holiday Tartan 3-Pc. Reversibl Multiplaid FullQueen</t>
  </si>
  <si>
    <t>CS4078FQ-1540</t>
  </si>
  <si>
    <t>783048140197</t>
  </si>
  <si>
    <t>Pem America Holiday Plaid 3-Pc. Reversible Multiplaid FullQueen</t>
  </si>
  <si>
    <t>CS3910FQ-1540</t>
  </si>
  <si>
    <t>885308404541</t>
  </si>
  <si>
    <t>Waverly Waverly Charmed Life Wave Wind Cornflower ONE SIZE</t>
  </si>
  <si>
    <t>15404052018CRF</t>
  </si>
  <si>
    <t>732994989527</t>
  </si>
  <si>
    <t>HP SUPIMA BATHSHEET</t>
  </si>
  <si>
    <t>HUDSON PARK/TRIDENT</t>
  </si>
  <si>
    <t>BASE: COTTON; LOOPS: SUPIMA® COTTON</t>
  </si>
  <si>
    <t>732994989503</t>
  </si>
  <si>
    <t>746885413633</t>
  </si>
  <si>
    <t>Miller Curtains Payton 52 x 63 Panel Gray 52x63</t>
  </si>
  <si>
    <t>MC00X76313063</t>
  </si>
  <si>
    <t>29927568028</t>
  </si>
  <si>
    <t>Archaeo Embroidered Border 50 x 63 S Brass 50x63</t>
  </si>
  <si>
    <t>DARKYELLOW</t>
  </si>
  <si>
    <t>S LICHTENBERG &amp; CO.</t>
  </si>
  <si>
    <t>734737674462</t>
  </si>
  <si>
    <t>HERITAGE BATH TOWEL</t>
  </si>
  <si>
    <t>734737674615</t>
  </si>
  <si>
    <t>846339086304</t>
  </si>
  <si>
    <t>Piper Wright Piper Wright Hadley Standard Silver Standard Sham</t>
  </si>
  <si>
    <t>2295046STQSH</t>
  </si>
  <si>
    <t>PIPER AND WRIGHT/J QUEEN NEW YORK</t>
  </si>
  <si>
    <t>10482346022</t>
  </si>
  <si>
    <t>EdieHome EdieHome Precious Metals Coll Black</t>
  </si>
  <si>
    <t>EAH059XXBLSV98</t>
  </si>
  <si>
    <t>674811001374</t>
  </si>
  <si>
    <t>Lyndale Decor Lyndale Decor Aberdeen Blackou Cream 54 x 45</t>
  </si>
  <si>
    <t>ABERDEEN-54</t>
  </si>
  <si>
    <t>32281181574</t>
  </si>
  <si>
    <t>Disney 2-Pc. Travel Blanket Santa H Star Wars Standard</t>
  </si>
  <si>
    <t>JF18157</t>
  </si>
  <si>
    <t>32281181628</t>
  </si>
  <si>
    <t>Disney 2-Pc. Travel Blanket Santa H Marvel Spiderman Standard</t>
  </si>
  <si>
    <t>JF18162</t>
  </si>
  <si>
    <t>32281181567</t>
  </si>
  <si>
    <t>Disney 2-Pc. Travel Blanket Santa H Disney Frozen Standard</t>
  </si>
  <si>
    <t>JF18156</t>
  </si>
  <si>
    <t>732994989565</t>
  </si>
  <si>
    <t>HP SUPIMA TUB MAT</t>
  </si>
  <si>
    <t>100% SUPIMA COTTON</t>
  </si>
  <si>
    <t>732994989619</t>
  </si>
  <si>
    <t>732998657279</t>
  </si>
  <si>
    <t>732994989558</t>
  </si>
  <si>
    <t>732994989626</t>
  </si>
  <si>
    <t>732998657262</t>
  </si>
  <si>
    <t>732994989572</t>
  </si>
  <si>
    <t>54006619940</t>
  </si>
  <si>
    <t>Achim Sunflower 57x24 AN Antique ONE SIZE</t>
  </si>
  <si>
    <t>SFCS24AN12</t>
  </si>
  <si>
    <t>MED YELLOW</t>
  </si>
  <si>
    <t>ACHIM IMPORTING CO INC</t>
  </si>
  <si>
    <t>734737595392</t>
  </si>
  <si>
    <t>Sunham Jasper Cotton 21 x 34 Bath R Desert Mist No Size</t>
  </si>
  <si>
    <t>R19987AR262134</t>
  </si>
  <si>
    <t>845951013859</t>
  </si>
  <si>
    <t>RT Designers Collection Nancy Faux Silk 54 x 84 . Grom Pink 54x84</t>
  </si>
  <si>
    <t>PNN03060</t>
  </si>
  <si>
    <t>99600202952</t>
  </si>
  <si>
    <t>BABY CREAM</t>
  </si>
  <si>
    <t>01BCR-R</t>
  </si>
  <si>
    <t>746885401579</t>
  </si>
  <si>
    <t>Miller Curtains Savara Cotton 50 x 63 Waterc Shore 50x63</t>
  </si>
  <si>
    <t>MC00X72521463</t>
  </si>
  <si>
    <t>646998643388</t>
  </si>
  <si>
    <t>CHF Reversible Watercolor Floral-P Aqua 50x84</t>
  </si>
  <si>
    <t>1-40420GAQ</t>
  </si>
  <si>
    <t>680656145791</t>
  </si>
  <si>
    <t>Decopolitan Montevilla 58-Inch Urn Teles Silver</t>
  </si>
  <si>
    <t>30041-26DN</t>
  </si>
  <si>
    <t>DECOPOLITAN/BEME INTERNATIONAL LLC</t>
  </si>
  <si>
    <t>STEEL</t>
  </si>
  <si>
    <t>54006631157</t>
  </si>
  <si>
    <t>Achim Essence 52x84 TN Charcoal 52x84</t>
  </si>
  <si>
    <t>ESPN84CC12</t>
  </si>
  <si>
    <t>674811005327</t>
  </si>
  <si>
    <t>Lyndale Decor Lyndale Decor Clarita Embroide Blush 54 x 54</t>
  </si>
  <si>
    <t>CLARITA-54</t>
  </si>
  <si>
    <t>732998502326</t>
  </si>
  <si>
    <t>HP REV RUG 18X25</t>
  </si>
  <si>
    <t>HPREV1X2BWB</t>
  </si>
  <si>
    <t>29927459951</t>
  </si>
  <si>
    <t>Sun Zero Sun Zero Grant 54 x 95 Gromm Brick 54x95</t>
  </si>
  <si>
    <t>190714421427</t>
  </si>
  <si>
    <t>Lacourte Paris Dog 20 Square Decorativ Red 20x20</t>
  </si>
  <si>
    <t>1130992RED20X20</t>
  </si>
  <si>
    <t>190714427849</t>
  </si>
  <si>
    <t>Lacourte 20 x 20 Call Your Mom Decora Multi 20x20</t>
  </si>
  <si>
    <t>1131445MULTI20X20</t>
  </si>
  <si>
    <t>54006629659</t>
  </si>
  <si>
    <t>Achim Sunshine 57x24 YL Yellow ONE SIZE</t>
  </si>
  <si>
    <t>SSTS24YL12</t>
  </si>
  <si>
    <t>732998744948</t>
  </si>
  <si>
    <t>Martha Stewart Collection Sherpa 50 x 60 Throw Blue Throw</t>
  </si>
  <si>
    <t>DARK BLUE</t>
  </si>
  <si>
    <t>MMG-MARTHA STEWART-EDI/RWI/PEM AMER</t>
  </si>
  <si>
    <t>54006623855</t>
  </si>
  <si>
    <t>Achim Ombre 46x42 SS Chocolate ONE SIZE</t>
  </si>
  <si>
    <t>OMWFVLCH06</t>
  </si>
  <si>
    <t>MED BROWN</t>
  </si>
  <si>
    <t>29927480559</t>
  </si>
  <si>
    <t>Sun Zero Sun Zero Preston 40 x 84 Gro Mineral 40x84</t>
  </si>
  <si>
    <t>40X84/7</t>
  </si>
  <si>
    <t>732996350431</t>
  </si>
  <si>
    <t>Whim by Martha Stewart Velvet Round Decorative Pillow Dusty Aqua</t>
  </si>
  <si>
    <t>COVER: POLYESTER/SPANDEX; FILL; POLYESTER</t>
  </si>
  <si>
    <t>732996350448</t>
  </si>
  <si>
    <t>Whim by Martha Stewart Velvet Round Decorative Pillow Peach Blush</t>
  </si>
  <si>
    <t>LT/PAS ORG</t>
  </si>
  <si>
    <t>21864287291</t>
  </si>
  <si>
    <t>Avanti Initial Script Ivory and Gold T</t>
  </si>
  <si>
    <t>2253-T HAND</t>
  </si>
  <si>
    <t>HAND TOWEL</t>
  </si>
  <si>
    <t>AVANTI LINENS/AVANTI LINENS INC</t>
  </si>
  <si>
    <t>885308748881</t>
  </si>
  <si>
    <t>Keeco Vue Window Solutions Kingsbury Indigo 52x36</t>
  </si>
  <si>
    <t>18500052036IND</t>
  </si>
  <si>
    <t>706255888843</t>
  </si>
  <si>
    <t>Hotel Collection Turkish 18 x 25 Bath Rug Ivory 18 x 25</t>
  </si>
  <si>
    <t>HTRKSH1X2IV</t>
  </si>
  <si>
    <t>819254028032</t>
  </si>
  <si>
    <t>Sara B. Sara B. Christmas Car Decorati Multi 16x12</t>
  </si>
  <si>
    <t>SB309MU20</t>
  </si>
  <si>
    <t>12X16</t>
  </si>
  <si>
    <t>NEW SEGA HOME TEXTILES</t>
  </si>
  <si>
    <t>675716610036</t>
  </si>
  <si>
    <t>Intelligent Design Maci Fretwork 42 x 63 Room-D Blue 42x63</t>
  </si>
  <si>
    <t>ID40-306</t>
  </si>
  <si>
    <t>63 DOORPAN</t>
  </si>
  <si>
    <t>29927433425</t>
  </si>
  <si>
    <t>No. 918 Montego 48 x 84 Grommet Top Yellow 48x84</t>
  </si>
  <si>
    <t>84X7X48/4</t>
  </si>
  <si>
    <t>47293386824</t>
  </si>
  <si>
    <t>Sure Fit Stretch Pique Slipcover, Sho Cream Short Dining Room Chair Slipco</t>
  </si>
  <si>
    <t>185025236H117SFSDIN</t>
  </si>
  <si>
    <t>885308315144</t>
  </si>
  <si>
    <t>Eclipse Eclipse Canova 42 x 21 Win Gray 42x22</t>
  </si>
  <si>
    <t>14342042X021CHR</t>
  </si>
  <si>
    <t>885308078797</t>
  </si>
  <si>
    <t>Eclipse Eclipse Canova 42 x 21 Win Red 42x22</t>
  </si>
  <si>
    <t>10299042X021BU</t>
  </si>
  <si>
    <t>MEDIUM RED</t>
  </si>
  <si>
    <t>734737596351</t>
  </si>
  <si>
    <t>Sunham Cotton Bath Towel Blue</t>
  </si>
  <si>
    <t>T20778B263054</t>
  </si>
  <si>
    <t>648685200102</t>
  </si>
  <si>
    <t>JADE BASIC</t>
  </si>
  <si>
    <t>SXWFO</t>
  </si>
  <si>
    <t>SOAP ROCKS/T S PINK CORP</t>
  </si>
  <si>
    <t>ALL SOAP ROCKS CONTAIN EXTRACTS OF: ALOE, CALENDULA, CHAMOMILE, COMFREY, LAVENDER, VITAMIN E, VEGETABLE GLYCERIN, CHLOROPHYLL, ALMOND OIL, JOJOBA OIL, OLIVE OIL, ESSENTIAL OILS, MINERAL EARTH, KAOLIN CLAY, AND GLYCERIN DEW.</t>
  </si>
  <si>
    <t>885308471390</t>
  </si>
  <si>
    <t>Eclipse Kendall Blackout Window Curtai Artichoke 42x54</t>
  </si>
  <si>
    <t>10707042X054ART</t>
  </si>
  <si>
    <t>TRCTN82X54</t>
  </si>
  <si>
    <t>29927431933</t>
  </si>
  <si>
    <t>Sun Zero Sun Zero Grant Pole Top 54 x Brick 54x84</t>
  </si>
  <si>
    <t>GRANT</t>
  </si>
  <si>
    <t>646998642411</t>
  </si>
  <si>
    <t>CHF Lotus Harmony 40 x 84 Geomet Charcoal 40x84</t>
  </si>
  <si>
    <t>1-82450GCK</t>
  </si>
  <si>
    <t>646998643401</t>
  </si>
  <si>
    <t>CHF Coco 50 x 84 Ogee-Print Rod Blue 50x84</t>
  </si>
  <si>
    <t>1-40430GBL</t>
  </si>
  <si>
    <t>10482349115</t>
  </si>
  <si>
    <t>All-In-One Easy Care Queen Pillow Protect White</t>
  </si>
  <si>
    <t>ALL16602WHIT10</t>
  </si>
  <si>
    <t>LEVINSOHN TEXTILE CO INC</t>
  </si>
  <si>
    <t>COVER: POLYESTER; LINING: POLYURETHANE</t>
  </si>
  <si>
    <t>812091033368</t>
  </si>
  <si>
    <t>Muk Luks Muk Luks Super Soft Teddy Sher Pink Child</t>
  </si>
  <si>
    <t>MLBLPS</t>
  </si>
  <si>
    <t>TADPOLE HOME/SLEEPING PARTNER INTL</t>
  </si>
  <si>
    <t>636193690119</t>
  </si>
  <si>
    <t>Martha Stewart Collection Spa Tub Mat Blush</t>
  </si>
  <si>
    <t>MSPLSHTBLS</t>
  </si>
  <si>
    <t>DARK PINK</t>
  </si>
  <si>
    <t>MARTHA STEWART-EDI/RWI/WELSPUN</t>
  </si>
  <si>
    <t>885308375667</t>
  </si>
  <si>
    <t>Eclipse Eclipse Solid Thermapanel Navy 54x84</t>
  </si>
  <si>
    <t>15061054X084NVY</t>
  </si>
  <si>
    <t>646998648536</t>
  </si>
  <si>
    <t>Curtainworks Starry Night 40 x 63 Room-Da Blue 40x63</t>
  </si>
  <si>
    <t>1-824706BL</t>
  </si>
  <si>
    <t>651896649264</t>
  </si>
  <si>
    <t>Morgan Home Victoria 18x 18 Decorative Pil Grey No Size</t>
  </si>
  <si>
    <t>M649264</t>
  </si>
  <si>
    <t>MORGAN HOME FASHIONS</t>
  </si>
  <si>
    <t>885308481382</t>
  </si>
  <si>
    <t>Beautyrest Beautyrest Sandrine Eyelet Dec Gold</t>
  </si>
  <si>
    <t>16330016X016GOL</t>
  </si>
  <si>
    <t>651896642821</t>
  </si>
  <si>
    <t>Morgan Home LAST ACT Holiday Print Plush Holiday Truck No Size</t>
  </si>
  <si>
    <t>M642821</t>
  </si>
  <si>
    <t>651896642869</t>
  </si>
  <si>
    <t>Morgan Home Printed Plush 18 Decorative P Jungle Leopard No Size</t>
  </si>
  <si>
    <t>M642869</t>
  </si>
  <si>
    <t>651896642814</t>
  </si>
  <si>
    <t>Morgan Home LAST ACT Holiday Print Plush Furry Friends No Size</t>
  </si>
  <si>
    <t>M642814</t>
  </si>
  <si>
    <t>DARK BEIGE</t>
  </si>
  <si>
    <t>36326430696</t>
  </si>
  <si>
    <t>Saturday Knight Petite Fleur 78 x 30 Swag Va White 78x30</t>
  </si>
  <si>
    <t>SATURDAY KNIGHT LTD</t>
  </si>
  <si>
    <t>190714335700</t>
  </si>
  <si>
    <t>Lacourte Matilda 20 x 20 Decorative P Blue 20x20</t>
  </si>
  <si>
    <t>1125446BLU20X20</t>
  </si>
  <si>
    <t>746885383059</t>
  </si>
  <si>
    <t>Miller Curtains Solunar Crushed Voile 54 x 63 White 54x63</t>
  </si>
  <si>
    <t>MC00X49250163</t>
  </si>
  <si>
    <t>746885344456</t>
  </si>
  <si>
    <t>Miller Curtains Window Treatments, Preston Rod Brown 51x84</t>
  </si>
  <si>
    <t>WC70344420084</t>
  </si>
  <si>
    <t>732997747872</t>
  </si>
  <si>
    <t>Charter Club Damask Designs Parchment Diamo Parchment Standard Pillowcase</t>
  </si>
  <si>
    <t>100062584SP</t>
  </si>
  <si>
    <t>706258807636</t>
  </si>
  <si>
    <t>HP TURKISH HAND BASIC</t>
  </si>
  <si>
    <t>HPTURFHL</t>
  </si>
  <si>
    <t>706258825036</t>
  </si>
  <si>
    <t>HP TURKISH 30X20 BASIC</t>
  </si>
  <si>
    <t>HPTURFHPNK</t>
  </si>
  <si>
    <t>36326550585</t>
  </si>
  <si>
    <t>Saturday Knight Saturday Knight Dream 58 x 63 Blue 63</t>
  </si>
  <si>
    <t>63 SGL</t>
  </si>
  <si>
    <t>732994989107</t>
  </si>
  <si>
    <t>HP SUPIMA BATH</t>
  </si>
  <si>
    <t>706258050025</t>
  </si>
  <si>
    <t>Charter Club Damask Supima Cotton 550-Threa Medium Ivory Standard Pillowcase</t>
  </si>
  <si>
    <t>DLLSLSPCIVR</t>
  </si>
  <si>
    <t>646998636779</t>
  </si>
  <si>
    <t>CHF Lyric Ogee 50 x 63 Rod Pocke White 50x63</t>
  </si>
  <si>
    <t>1-412206WT</t>
  </si>
  <si>
    <t>646998636793</t>
  </si>
  <si>
    <t>CHF Lyric Ogee 50 x 63 Rod Pocke Antique 50x63</t>
  </si>
  <si>
    <t>1-412206AN</t>
  </si>
  <si>
    <t>885308499882</t>
  </si>
  <si>
    <t>Pairs To Go Cadenza Microfiber Panel Pair Aegean 40x84</t>
  </si>
  <si>
    <t>15110080X084AEG</t>
  </si>
  <si>
    <t>651896648793</t>
  </si>
  <si>
    <t>Morgan Home Typography 18 x 18 Decorative Faith No Size</t>
  </si>
  <si>
    <t>M648793</t>
  </si>
  <si>
    <t>651896648779</t>
  </si>
  <si>
    <t>Morgan Home Typography 18 x 18 Decorative Beautiful Day No Size</t>
  </si>
  <si>
    <t>M648779</t>
  </si>
  <si>
    <t>732998657194</t>
  </si>
  <si>
    <t>732994989176</t>
  </si>
  <si>
    <t>732994989183</t>
  </si>
  <si>
    <t>746885355216</t>
  </si>
  <si>
    <t>Miller Curtains Window Treatments, Preston Rod Taupe 51x84</t>
  </si>
  <si>
    <t>WC70344407684</t>
  </si>
  <si>
    <t>885308328984</t>
  </si>
  <si>
    <t>Traditions by Waverly Navarra Kristy Valance Porcelain ONE SIZE</t>
  </si>
  <si>
    <t>14312052016POR</t>
  </si>
  <si>
    <t>32281252168</t>
  </si>
  <si>
    <t>Disney Marvel Comics Get Together 2pk Marvel Comics</t>
  </si>
  <si>
    <t>JF25216</t>
  </si>
  <si>
    <t>32281252137</t>
  </si>
  <si>
    <t>Disney Princess Dream Big 2pk Squishy Disney Princess</t>
  </si>
  <si>
    <t>JF25213</t>
  </si>
  <si>
    <t>735732551420</t>
  </si>
  <si>
    <t>Seventh Studio 3 Piece Bath Accessory Set Blue</t>
  </si>
  <si>
    <t>3B-BTH-3BTH-MA</t>
  </si>
  <si>
    <t>746885344135</t>
  </si>
  <si>
    <t>Miller Curtains Window Treatments, Preston Rod Linen 51x63</t>
  </si>
  <si>
    <t>WC70344423663</t>
  </si>
  <si>
    <t>728455263268</t>
  </si>
  <si>
    <t>T320FTOWOP</t>
  </si>
  <si>
    <t>FINGER TIP</t>
  </si>
  <si>
    <t>MADE IN PORTUGAL</t>
  </si>
  <si>
    <t>885308326317</t>
  </si>
  <si>
    <t>Waverly Stripe Ensemble Scallop Valanc Crimson ONE SIZE</t>
  </si>
  <si>
    <t>14466052016CRI</t>
  </si>
  <si>
    <t>732994629935</t>
  </si>
  <si>
    <t>Charter Club Elite Hygro Cotton Tub Mat Forest Green</t>
  </si>
  <si>
    <t>CCELITET</t>
  </si>
  <si>
    <t>MMG-CHARTER CLUB</t>
  </si>
  <si>
    <t>886087186734</t>
  </si>
  <si>
    <t>Lauren Ralph Lauren Lauren Ralph Lauren Wescott 13 Linen Cream 13x13</t>
  </si>
  <si>
    <t>WASH CLOTH</t>
  </si>
  <si>
    <t>728455263244</t>
  </si>
  <si>
    <t>T320WTOWOP</t>
  </si>
  <si>
    <t>LONG STAPLE COTTON</t>
  </si>
  <si>
    <t>29927250053</t>
  </si>
  <si>
    <t>No. 918 No. 918 Calypso Voile Sheer Ro Pink 59x63</t>
  </si>
  <si>
    <t>726895142778</t>
  </si>
  <si>
    <t>Hotel Collection Ultimate MicroCotton Sculpted Vapor Combo Grey No Size</t>
  </si>
  <si>
    <t>732997299784</t>
  </si>
  <si>
    <t>HP TILE WASH BASIC</t>
  </si>
  <si>
    <t>734737618374</t>
  </si>
  <si>
    <t>Lacoste Ace Cotton 16 x 30 Hand Towe Oxford Blue Hand Towels</t>
  </si>
  <si>
    <t>T21277B5861630</t>
  </si>
  <si>
    <t>FABRIC: 100% COTTON</t>
  </si>
  <si>
    <t>728455898255</t>
  </si>
  <si>
    <t>SEVILLE WASH CLOTH B BASIC</t>
  </si>
  <si>
    <t>M058WTOWBN</t>
  </si>
  <si>
    <t>735732247354</t>
  </si>
  <si>
    <t>Victoria Classics Fireside Sherpa Throw Ivory 50x60</t>
  </si>
  <si>
    <t>SP4-THR-5060-MC-IVOR</t>
  </si>
  <si>
    <t>735732247385</t>
  </si>
  <si>
    <t>Victoria Classics Fireside Sherpa Throw Grey 50x60</t>
  </si>
  <si>
    <t>SP4-THR-5060-MC-GREY</t>
  </si>
  <si>
    <t>732994989251</t>
  </si>
  <si>
    <t>HP SUPIMA HAND</t>
  </si>
  <si>
    <t>SUPIMA ® COTTON</t>
  </si>
  <si>
    <t>732994989237</t>
  </si>
  <si>
    <t>732994989220</t>
  </si>
  <si>
    <t>732994989268</t>
  </si>
  <si>
    <t>732994989244</t>
  </si>
  <si>
    <t>732998657217</t>
  </si>
  <si>
    <t>732994989282</t>
  </si>
  <si>
    <t>732994989213</t>
  </si>
  <si>
    <t>732997431481</t>
  </si>
  <si>
    <t>Home Design StandardQueen 2-Pc. Satin Pil Black Standard</t>
  </si>
  <si>
    <t>100081741SQ</t>
  </si>
  <si>
    <t>PILLOWS &amp; PAD</t>
  </si>
  <si>
    <t>HOME DESIGN-EDI/JLA HOME</t>
  </si>
  <si>
    <t>706255906042</t>
  </si>
  <si>
    <t>Hotel Collection Hotel Collection Finest Elegan Aloe Washcloths</t>
  </si>
  <si>
    <t>HTLELITEWAL</t>
  </si>
  <si>
    <t>806222684345</t>
  </si>
  <si>
    <t>Divatex Cotton Textured Quick-Dry 27 Blue Bath Towels</t>
  </si>
  <si>
    <t>2750118-BT-B1-O42</t>
  </si>
  <si>
    <t>DIVATEX/HIMATSINGKA AMERICA</t>
  </si>
  <si>
    <t>732994989374</t>
  </si>
  <si>
    <t>HP SUPIMA WASH</t>
  </si>
  <si>
    <t>732994989343</t>
  </si>
  <si>
    <t>732994989336</t>
  </si>
  <si>
    <t>732994989350</t>
  </si>
  <si>
    <t>732994989398</t>
  </si>
  <si>
    <t>732994989404</t>
  </si>
  <si>
    <t>732994989367</t>
  </si>
  <si>
    <t>732994989329</t>
  </si>
  <si>
    <t>732994989381</t>
  </si>
  <si>
    <t>732998657224</t>
  </si>
  <si>
    <t>732998302216</t>
  </si>
  <si>
    <t>Hotel Collection Ultimate MicroCotton Mosaic 13 Lake Combo Washcloths</t>
  </si>
  <si>
    <t>732996957753</t>
  </si>
  <si>
    <t>Hotel Collection Block Geo Cotton 13 x 13 Was Lake Combo Washcloths</t>
  </si>
  <si>
    <t>766360433420</t>
  </si>
  <si>
    <t>HPTURFWL</t>
  </si>
  <si>
    <t>608381821117</t>
  </si>
  <si>
    <t>HPTURFWAQU</t>
  </si>
  <si>
    <t>706258825395</t>
  </si>
  <si>
    <t>646760109722</t>
  </si>
  <si>
    <t>French Connection Cotton Textured Wash Towel Light Pastel Blue No Size</t>
  </si>
  <si>
    <t>MAT000056</t>
  </si>
  <si>
    <t>806222684390</t>
  </si>
  <si>
    <t>Divatex Divatex Quick Dry 16 x 26 Ha White Hand Towels</t>
  </si>
  <si>
    <t>2750118-HD-W1-O120</t>
  </si>
  <si>
    <t>734737645424</t>
  </si>
  <si>
    <t>Sunham Soft Spun Cotton Wash Towel Yellow Washcloths</t>
  </si>
  <si>
    <t>T18437Y251212</t>
  </si>
  <si>
    <t>814026029927</t>
  </si>
  <si>
    <t>ASAYA KING DUVET</t>
  </si>
  <si>
    <t>DVO-ASYA-K</t>
  </si>
  <si>
    <t>JOHN ROBSHAW TEXTILES</t>
  </si>
  <si>
    <t>823443999942</t>
  </si>
  <si>
    <t>DEPT 911 04-SPECIAL</t>
  </si>
  <si>
    <t>FLOORSTOCKRUG</t>
  </si>
  <si>
    <t>AREA RUGS</t>
  </si>
  <si>
    <t>MINK RUG COMPANY (THE)</t>
  </si>
  <si>
    <t>849203053969</t>
  </si>
  <si>
    <t>PKaufmann Home PKaufmann Home Stretch Sensat Mocha Sofa Slipcover</t>
  </si>
  <si>
    <t>9821SOF</t>
  </si>
  <si>
    <t>751379645421</t>
  </si>
  <si>
    <t>Pillow Perfect Printed 15 x 16.5 Outdoor Ch Tan Floral</t>
  </si>
  <si>
    <t>PILLOW PERFECT</t>
  </si>
  <si>
    <t>810055770038</t>
  </si>
  <si>
    <t>ASAYA KING SHAM</t>
  </si>
  <si>
    <t>SHO-ASYA-K</t>
  </si>
  <si>
    <t>81806539031</t>
  </si>
  <si>
    <t>Eclipse Eclipse Nora Geo Embroidery Ab White 108 x 50</t>
  </si>
  <si>
    <t>FZE003CB4WHT</t>
  </si>
  <si>
    <t>783048117144</t>
  </si>
  <si>
    <t>London Fog London Fog Dartford 4 Piece Co Gray FullQueen</t>
  </si>
  <si>
    <t>CS3395FQ-1300</t>
  </si>
  <si>
    <t>783048137173</t>
  </si>
  <si>
    <t>Truly Calm Truly Calm Antimicrobial Down White FullQueen</t>
  </si>
  <si>
    <t>CS3829WTFQ-1700</t>
  </si>
  <si>
    <t>841643150666</t>
  </si>
  <si>
    <t>lala bash Davis 37 x 84 Metallic Star Blush 37x84</t>
  </si>
  <si>
    <t>DAVI14987D-12</t>
  </si>
  <si>
    <t>DUCK RIVER TEXTILE</t>
  </si>
  <si>
    <t>91116722658</t>
  </si>
  <si>
    <t>Jessica Sanders Jessica Sanders Golden Unicorn Pink Twin</t>
  </si>
  <si>
    <t>GDUCST</t>
  </si>
  <si>
    <t>COZY HOME FASHION/SANDER SALES ENT</t>
  </si>
  <si>
    <t>191790043183</t>
  </si>
  <si>
    <t>AQ Textiles T800 6 piece King Sheet Set Light Blue King</t>
  </si>
  <si>
    <t>71202104006AQT</t>
  </si>
  <si>
    <t>885308364487</t>
  </si>
  <si>
    <t>Vue Arashi Ombre 52 x 84 Curtain Blue 52x84</t>
  </si>
  <si>
    <t>14900052084IND</t>
  </si>
  <si>
    <t>86569423313</t>
  </si>
  <si>
    <t>Urban Habitat Brooklyn 42 x 63 Cotton Jacq Indigo Blue 42x63</t>
  </si>
  <si>
    <t>UH40-2373</t>
  </si>
  <si>
    <t>885308406842</t>
  </si>
  <si>
    <t>Eclipse Eclipse Liberty 52 x 95 Li White 95 x 52</t>
  </si>
  <si>
    <t>15458052095WHI</t>
  </si>
  <si>
    <t>783048140548</t>
  </si>
  <si>
    <t>London Fog Popcorn Plaid Plush 60 x 50 Black, Red 60 X 50</t>
  </si>
  <si>
    <t>TH3916BR 9100</t>
  </si>
  <si>
    <t>735732977190</t>
  </si>
  <si>
    <t>DRAFT - VCNY Victoria Herringb White 50x70</t>
  </si>
  <si>
    <t>VIC-THR-5070-IN-WHIT</t>
  </si>
  <si>
    <t>190714425050</t>
  </si>
  <si>
    <t>Lacourte 14 x 24 Love You Most Decora Blackwhite 14x24</t>
  </si>
  <si>
    <t>1130994BLKWT14X24</t>
  </si>
  <si>
    <t>783048162434</t>
  </si>
  <si>
    <t>My World My World Cloud Sherpa Throw Ivory Throw</t>
  </si>
  <si>
    <t>TH4245IV-9100</t>
  </si>
  <si>
    <t>21166148696</t>
  </si>
  <si>
    <t>Harper Lane Harper Lane Crushed Decorative Burnt Orange 18x18</t>
  </si>
  <si>
    <t>MED ORANGE</t>
  </si>
  <si>
    <t>628961003498</t>
  </si>
  <si>
    <t>Kensington Garden Linear Woven 28 x 54 Bath To Blue Bath Towels</t>
  </si>
  <si>
    <t>JET10066</t>
  </si>
  <si>
    <t>KENSINGTON GARDENS/SMALL WORLD/JETR</t>
  </si>
  <si>
    <t>628961003467</t>
  </si>
  <si>
    <t>Kensington Garden Linear Woven 28 x 54 Bath To White Bath Towels</t>
  </si>
  <si>
    <t>JET10063</t>
  </si>
  <si>
    <t>733001818441</t>
  </si>
  <si>
    <t>Martha Stewart Collection Be Mine 2-Pc. 11 x 18 Finger White Combo Fingertip Towels</t>
  </si>
  <si>
    <t>MARTHA STEWART-EDI/E &amp; E CO LTD</t>
  </si>
  <si>
    <t>10482003819</t>
  </si>
  <si>
    <t>BEDSKIRT PINS</t>
  </si>
  <si>
    <t>LEVINSON TEXTILE</t>
  </si>
  <si>
    <t>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</si>
</sst>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_);[Red]\(&quot;$&quot;#,##0.00\)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9"/>
      <color theme="0"/>
      <name val="Arial"/>
      <family val="2"/>
    </font>
    <font>
      <b/>
      <sz val="9"/>
      <color rgb="FFFF33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33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9">
    <xf numFmtId="0" fontId="0" fillId="0" borderId="0" xfId="0"/>
    <xf numFmtId="0" fontId="1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1" fontId="19" fillId="0" borderId="0" xfId="0" applyNumberFormat="1" applyFont="1" applyAlignment="1">
      <alignment horizontal="center" vertical="center" wrapText="1"/>
    </xf>
    <xf numFmtId="164" fontId="19" fillId="0" borderId="0" xfId="0" applyNumberFormat="1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1" fontId="19" fillId="0" borderId="10" xfId="0" applyNumberFormat="1" applyFont="1" applyBorder="1" applyAlignment="1">
      <alignment horizontal="center" vertical="center" wrapText="1"/>
    </xf>
    <xf numFmtId="164" fontId="19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 wrapText="1"/>
    </xf>
    <xf numFmtId="164" fontId="22" fillId="0" borderId="10" xfId="0" applyNumberFormat="1" applyFont="1" applyBorder="1" applyAlignment="1">
      <alignment horizontal="center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2"/>
  <sheetViews>
    <sheetView tabSelected="1" topLeftCell="C1" workbookViewId="0">
      <selection activeCell="N19" sqref="N19"/>
    </sheetView>
  </sheetViews>
  <sheetFormatPr defaultColWidth="9.140625" defaultRowHeight="15" x14ac:dyDescent="0.25"/>
  <cols>
    <col min="1" max="1" width="14.140625" style="2" bestFit="1" customWidth="1"/>
    <col min="2" max="2" width="53.140625" style="2" customWidth="1"/>
    <col min="3" max="3" width="12.42578125" style="2" bestFit="1" customWidth="1"/>
    <col min="4" max="4" width="9.85546875" style="2" bestFit="1" customWidth="1"/>
    <col min="5" max="6" width="15" style="2" customWidth="1"/>
    <col min="7" max="7" width="10.28515625" style="2" customWidth="1"/>
    <col min="8" max="8" width="13.28515625" style="2" bestFit="1" customWidth="1"/>
    <col min="9" max="9" width="11.85546875" style="2" customWidth="1"/>
    <col min="10" max="11" width="11.42578125" style="2" customWidth="1"/>
    <col min="12" max="12" width="10.28515625" style="2" bestFit="1" customWidth="1"/>
    <col min="13" max="13" width="11" style="2" bestFit="1" customWidth="1"/>
    <col min="14" max="14" width="25.5703125" style="2" customWidth="1"/>
    <col min="15" max="15" width="36.5703125" style="2" bestFit="1" customWidth="1"/>
    <col min="16" max="17" width="20.7109375" style="2" customWidth="1"/>
    <col min="18" max="18" width="64.28515625" style="2" customWidth="1"/>
    <col min="19" max="16384" width="9.140625" style="2"/>
  </cols>
  <sheetData>
    <row r="1" spans="1:12" ht="36" x14ac:dyDescent="0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</row>
    <row r="2" spans="1:12" x14ac:dyDescent="0.25">
      <c r="A2" s="7" t="s">
        <v>1465</v>
      </c>
      <c r="B2" s="8">
        <v>13581441</v>
      </c>
      <c r="C2" s="8">
        <v>13578395</v>
      </c>
      <c r="D2" s="7" t="s">
        <v>10</v>
      </c>
      <c r="E2" s="7" t="s">
        <v>11</v>
      </c>
      <c r="F2" s="8">
        <v>1</v>
      </c>
      <c r="G2" s="8">
        <v>12</v>
      </c>
      <c r="H2" s="7">
        <v>266</v>
      </c>
      <c r="I2" s="9">
        <v>4059.36</v>
      </c>
      <c r="J2" s="7">
        <v>80</v>
      </c>
      <c r="K2" s="15"/>
      <c r="L2" s="13"/>
    </row>
    <row r="3" spans="1:12" x14ac:dyDescent="0.25">
      <c r="A3" s="7" t="s">
        <v>1465</v>
      </c>
      <c r="B3" s="8">
        <v>13581441</v>
      </c>
      <c r="C3" s="8">
        <v>13578364</v>
      </c>
      <c r="D3" s="7" t="s">
        <v>10</v>
      </c>
      <c r="E3" s="7" t="s">
        <v>11</v>
      </c>
      <c r="F3" s="8">
        <v>1</v>
      </c>
      <c r="G3" s="8">
        <v>15</v>
      </c>
      <c r="H3" s="7">
        <v>340</v>
      </c>
      <c r="I3" s="9">
        <v>4662.1400000000003</v>
      </c>
      <c r="J3" s="7">
        <v>133</v>
      </c>
      <c r="K3" s="15"/>
      <c r="L3" s="13"/>
    </row>
    <row r="4" spans="1:12" x14ac:dyDescent="0.25">
      <c r="A4" s="7" t="s">
        <v>1465</v>
      </c>
      <c r="B4" s="8">
        <v>13581441</v>
      </c>
      <c r="C4" s="8">
        <v>13578339</v>
      </c>
      <c r="D4" s="7" t="s">
        <v>10</v>
      </c>
      <c r="E4" s="7" t="s">
        <v>11</v>
      </c>
      <c r="F4" s="8">
        <v>1</v>
      </c>
      <c r="G4" s="8">
        <v>16</v>
      </c>
      <c r="H4" s="7">
        <v>251</v>
      </c>
      <c r="I4" s="9">
        <v>5349.44</v>
      </c>
      <c r="J4" s="7">
        <v>118</v>
      </c>
      <c r="K4" s="15"/>
      <c r="L4" s="13"/>
    </row>
    <row r="5" spans="1:12" x14ac:dyDescent="0.25">
      <c r="A5" s="7" t="s">
        <v>1465</v>
      </c>
      <c r="B5" s="8">
        <v>13581441</v>
      </c>
      <c r="C5" s="8">
        <v>13578306</v>
      </c>
      <c r="D5" s="7" t="s">
        <v>10</v>
      </c>
      <c r="E5" s="7" t="s">
        <v>11</v>
      </c>
      <c r="F5" s="8">
        <v>1</v>
      </c>
      <c r="G5" s="8">
        <v>13</v>
      </c>
      <c r="H5" s="7">
        <v>317</v>
      </c>
      <c r="I5" s="9">
        <v>3252.34</v>
      </c>
      <c r="J5" s="7">
        <v>66</v>
      </c>
      <c r="K5" s="15"/>
      <c r="L5" s="13"/>
    </row>
    <row r="6" spans="1:12" x14ac:dyDescent="0.25">
      <c r="A6" s="7" t="s">
        <v>1465</v>
      </c>
      <c r="B6" s="8">
        <v>13581441</v>
      </c>
      <c r="C6" s="8">
        <v>13568548</v>
      </c>
      <c r="D6" s="7" t="s">
        <v>10</v>
      </c>
      <c r="E6" s="7" t="s">
        <v>11</v>
      </c>
      <c r="F6" s="8">
        <v>1</v>
      </c>
      <c r="G6" s="8">
        <v>12</v>
      </c>
      <c r="H6" s="7">
        <v>258</v>
      </c>
      <c r="I6" s="9">
        <v>3252.3</v>
      </c>
      <c r="J6" s="7">
        <v>70</v>
      </c>
      <c r="K6" s="15"/>
      <c r="L6" s="13"/>
    </row>
    <row r="7" spans="1:12" x14ac:dyDescent="0.25">
      <c r="A7" s="7" t="s">
        <v>1465</v>
      </c>
      <c r="B7" s="8">
        <v>13581441</v>
      </c>
      <c r="C7" s="8">
        <v>13567513</v>
      </c>
      <c r="D7" s="7" t="s">
        <v>10</v>
      </c>
      <c r="E7" s="7" t="s">
        <v>11</v>
      </c>
      <c r="F7" s="8">
        <v>1</v>
      </c>
      <c r="G7" s="8">
        <v>8</v>
      </c>
      <c r="H7" s="7">
        <v>261</v>
      </c>
      <c r="I7" s="9">
        <v>2953.37</v>
      </c>
      <c r="J7" s="7">
        <v>67</v>
      </c>
      <c r="K7" s="15"/>
      <c r="L7" s="13"/>
    </row>
    <row r="8" spans="1:12" x14ac:dyDescent="0.25">
      <c r="A8" s="7" t="s">
        <v>1465</v>
      </c>
      <c r="B8" s="8">
        <v>13581441</v>
      </c>
      <c r="C8" s="8">
        <v>13588308</v>
      </c>
      <c r="D8" s="7" t="s">
        <v>10</v>
      </c>
      <c r="E8" s="7" t="s">
        <v>11</v>
      </c>
      <c r="F8" s="8">
        <v>1</v>
      </c>
      <c r="G8" s="8">
        <v>14</v>
      </c>
      <c r="H8" s="7">
        <v>241</v>
      </c>
      <c r="I8" s="9">
        <v>4053.34</v>
      </c>
      <c r="J8" s="7">
        <v>78</v>
      </c>
      <c r="K8" s="15"/>
      <c r="L8" s="13"/>
    </row>
    <row r="9" spans="1:12" x14ac:dyDescent="0.25">
      <c r="A9" s="7" t="s">
        <v>1465</v>
      </c>
      <c r="B9" s="8">
        <v>13581441</v>
      </c>
      <c r="C9" s="8">
        <v>13581441</v>
      </c>
      <c r="D9" s="7" t="s">
        <v>10</v>
      </c>
      <c r="E9" s="7" t="s">
        <v>11</v>
      </c>
      <c r="F9" s="8">
        <v>1</v>
      </c>
      <c r="G9" s="8">
        <v>11</v>
      </c>
      <c r="H9" s="7">
        <v>233</v>
      </c>
      <c r="I9" s="9">
        <v>5229.5600000000004</v>
      </c>
      <c r="J9" s="7">
        <v>133</v>
      </c>
      <c r="K9" s="15"/>
      <c r="L9" s="13"/>
    </row>
    <row r="10" spans="1:12" x14ac:dyDescent="0.25">
      <c r="A10" s="7" t="s">
        <v>1465</v>
      </c>
      <c r="B10" s="8">
        <v>13581441</v>
      </c>
      <c r="C10" s="8">
        <v>13580148</v>
      </c>
      <c r="D10" s="7" t="s">
        <v>10</v>
      </c>
      <c r="E10" s="7" t="s">
        <v>11</v>
      </c>
      <c r="F10" s="8">
        <v>1</v>
      </c>
      <c r="G10" s="8">
        <v>10</v>
      </c>
      <c r="H10" s="7">
        <v>419</v>
      </c>
      <c r="I10" s="9">
        <v>4333.54</v>
      </c>
      <c r="J10" s="7">
        <v>96</v>
      </c>
      <c r="K10" s="15"/>
      <c r="L10" s="13"/>
    </row>
    <row r="11" spans="1:12" x14ac:dyDescent="0.25">
      <c r="A11" s="7" t="s">
        <v>1465</v>
      </c>
      <c r="B11" s="8">
        <v>13581441</v>
      </c>
      <c r="C11" s="8">
        <v>13579980</v>
      </c>
      <c r="D11" s="7" t="s">
        <v>10</v>
      </c>
      <c r="E11" s="7" t="s">
        <v>11</v>
      </c>
      <c r="F11" s="8">
        <v>1</v>
      </c>
      <c r="G11" s="8">
        <v>20</v>
      </c>
      <c r="H11" s="7">
        <v>478</v>
      </c>
      <c r="I11" s="9">
        <v>16543</v>
      </c>
      <c r="J11" s="7">
        <v>384</v>
      </c>
      <c r="K11" s="15"/>
      <c r="L11" s="13"/>
    </row>
    <row r="12" spans="1:12" x14ac:dyDescent="0.25">
      <c r="A12" s="3"/>
      <c r="B12" s="4"/>
      <c r="C12" s="4"/>
      <c r="D12" s="3"/>
      <c r="E12" s="16" t="s">
        <v>12</v>
      </c>
      <c r="F12" s="17">
        <v>10</v>
      </c>
      <c r="G12" s="17">
        <v>131</v>
      </c>
      <c r="H12" s="16">
        <v>3064</v>
      </c>
      <c r="I12" s="18">
        <v>53688.39</v>
      </c>
      <c r="J12" s="16">
        <v>1225</v>
      </c>
      <c r="K12" s="13"/>
    </row>
    <row r="13" spans="1:12" s="6" customFormat="1" x14ac:dyDescent="0.25"/>
    <row r="14" spans="1:12" x14ac:dyDescent="0.25">
      <c r="A14" s="14" t="s">
        <v>13</v>
      </c>
      <c r="B14" s="14" t="s">
        <v>14</v>
      </c>
      <c r="C14" s="1"/>
      <c r="D14" s="1"/>
    </row>
    <row r="15" spans="1:12" x14ac:dyDescent="0.25">
      <c r="A15" s="10" t="s">
        <v>15</v>
      </c>
      <c r="B15" s="8">
        <v>50.53</v>
      </c>
      <c r="C15" s="5"/>
      <c r="D15" s="5"/>
    </row>
    <row r="16" spans="1:12" x14ac:dyDescent="0.25">
      <c r="A16" s="10" t="s">
        <v>16</v>
      </c>
      <c r="B16" s="8">
        <v>49.47</v>
      </c>
      <c r="C16" s="5"/>
      <c r="D16" s="5"/>
    </row>
    <row r="17" spans="1:13" s="6" customFormat="1" x14ac:dyDescent="0.25"/>
    <row r="18" spans="1:13" ht="24" x14ac:dyDescent="0.25">
      <c r="A18" s="14" t="s">
        <v>17</v>
      </c>
      <c r="B18" s="14" t="s">
        <v>18</v>
      </c>
      <c r="C18" s="14" t="s">
        <v>19</v>
      </c>
      <c r="D18" s="14" t="s">
        <v>20</v>
      </c>
      <c r="E18" s="14" t="s">
        <v>21</v>
      </c>
      <c r="F18" s="14" t="s">
        <v>22</v>
      </c>
      <c r="G18" s="14" t="s">
        <v>23</v>
      </c>
      <c r="H18" s="14" t="s">
        <v>24</v>
      </c>
      <c r="I18" s="14" t="s">
        <v>25</v>
      </c>
      <c r="J18" s="14" t="s">
        <v>26</v>
      </c>
      <c r="K18" s="14" t="s">
        <v>27</v>
      </c>
      <c r="L18" s="14" t="s">
        <v>28</v>
      </c>
    </row>
    <row r="19" spans="1:13" ht="60" x14ac:dyDescent="0.25">
      <c r="A19" s="11" t="s">
        <v>95</v>
      </c>
      <c r="B19" s="7" t="s">
        <v>96</v>
      </c>
      <c r="C19" s="8">
        <v>1</v>
      </c>
      <c r="D19" s="9">
        <v>179.99</v>
      </c>
      <c r="E19" s="8" t="s">
        <v>97</v>
      </c>
      <c r="F19" s="7" t="s">
        <v>49</v>
      </c>
      <c r="G19" s="11"/>
      <c r="H19" s="7" t="s">
        <v>98</v>
      </c>
      <c r="I19" s="7" t="s">
        <v>99</v>
      </c>
      <c r="J19" s="7" t="s">
        <v>52</v>
      </c>
      <c r="K19" s="7" t="s">
        <v>59</v>
      </c>
      <c r="L19" s="12" t="str">
        <f>HYPERLINK("http://slimages.macys.com/is/image/MCY/15730407 ")</f>
        <v xml:space="preserve">http://slimages.macys.com/is/image/MCY/15730407 </v>
      </c>
      <c r="M19" s="13"/>
    </row>
    <row r="20" spans="1:13" ht="60" x14ac:dyDescent="0.25">
      <c r="A20" s="11" t="s">
        <v>227</v>
      </c>
      <c r="B20" s="7" t="s">
        <v>96</v>
      </c>
      <c r="C20" s="8">
        <v>1</v>
      </c>
      <c r="D20" s="9">
        <v>109.99</v>
      </c>
      <c r="E20" s="8" t="s">
        <v>228</v>
      </c>
      <c r="F20" s="7" t="s">
        <v>43</v>
      </c>
      <c r="G20" s="11"/>
      <c r="H20" s="7" t="s">
        <v>98</v>
      </c>
      <c r="I20" s="7" t="s">
        <v>99</v>
      </c>
      <c r="J20" s="7" t="s">
        <v>52</v>
      </c>
      <c r="K20" s="7" t="s">
        <v>229</v>
      </c>
      <c r="L20" s="12" t="str">
        <f>HYPERLINK("http://slimages.macys.com/is/image/MCY/15730380 ")</f>
        <v xml:space="preserve">http://slimages.macys.com/is/image/MCY/15730380 </v>
      </c>
      <c r="M20" s="13"/>
    </row>
    <row r="21" spans="1:13" ht="60" x14ac:dyDescent="0.25">
      <c r="A21" s="11" t="s">
        <v>230</v>
      </c>
      <c r="B21" s="7" t="s">
        <v>96</v>
      </c>
      <c r="C21" s="8">
        <v>1</v>
      </c>
      <c r="D21" s="9">
        <v>109.99</v>
      </c>
      <c r="E21" s="8" t="s">
        <v>231</v>
      </c>
      <c r="F21" s="7" t="s">
        <v>108</v>
      </c>
      <c r="G21" s="11"/>
      <c r="H21" s="7" t="s">
        <v>98</v>
      </c>
      <c r="I21" s="7" t="s">
        <v>99</v>
      </c>
      <c r="J21" s="7" t="s">
        <v>52</v>
      </c>
      <c r="K21" s="7" t="s">
        <v>229</v>
      </c>
      <c r="L21" s="12" t="str">
        <f>HYPERLINK("http://slimages.macys.com/is/image/MCY/15730380 ")</f>
        <v xml:space="preserve">http://slimages.macys.com/is/image/MCY/15730380 </v>
      </c>
      <c r="M21" s="13"/>
    </row>
    <row r="22" spans="1:13" ht="60" x14ac:dyDescent="0.25">
      <c r="A22" s="11" t="s">
        <v>521</v>
      </c>
      <c r="B22" s="7" t="s">
        <v>522</v>
      </c>
      <c r="C22" s="8">
        <v>1</v>
      </c>
      <c r="D22" s="9">
        <v>39.99</v>
      </c>
      <c r="E22" s="8" t="s">
        <v>523</v>
      </c>
      <c r="F22" s="7" t="s">
        <v>500</v>
      </c>
      <c r="G22" s="11"/>
      <c r="H22" s="7" t="s">
        <v>125</v>
      </c>
      <c r="I22" s="7" t="s">
        <v>80</v>
      </c>
      <c r="J22" s="7"/>
      <c r="K22" s="7"/>
      <c r="L22" s="12" t="str">
        <f>HYPERLINK("http://slimages.macys.com/is/image/MCY/18116469 ")</f>
        <v xml:space="preserve">http://slimages.macys.com/is/image/MCY/18116469 </v>
      </c>
      <c r="M22" s="13"/>
    </row>
    <row r="23" spans="1:13" ht="60" x14ac:dyDescent="0.25">
      <c r="A23" s="11" t="s">
        <v>521</v>
      </c>
      <c r="B23" s="7" t="s">
        <v>522</v>
      </c>
      <c r="C23" s="8">
        <v>1</v>
      </c>
      <c r="D23" s="9">
        <v>39.99</v>
      </c>
      <c r="E23" s="8" t="s">
        <v>523</v>
      </c>
      <c r="F23" s="7" t="s">
        <v>500</v>
      </c>
      <c r="G23" s="11"/>
      <c r="H23" s="7" t="s">
        <v>125</v>
      </c>
      <c r="I23" s="7" t="s">
        <v>80</v>
      </c>
      <c r="J23" s="7"/>
      <c r="K23" s="7"/>
      <c r="L23" s="12" t="str">
        <f>HYPERLINK("http://slimages.macys.com/is/image/MCY/18116469 ")</f>
        <v xml:space="preserve">http://slimages.macys.com/is/image/MCY/18116469 </v>
      </c>
      <c r="M23" s="13"/>
    </row>
    <row r="24" spans="1:13" ht="72" x14ac:dyDescent="0.25">
      <c r="A24" s="11" t="s">
        <v>255</v>
      </c>
      <c r="B24" s="7" t="s">
        <v>256</v>
      </c>
      <c r="C24" s="8">
        <v>1</v>
      </c>
      <c r="D24" s="9">
        <v>99.99</v>
      </c>
      <c r="E24" s="8">
        <v>650511661005</v>
      </c>
      <c r="F24" s="7" t="s">
        <v>93</v>
      </c>
      <c r="G24" s="11" t="s">
        <v>257</v>
      </c>
      <c r="H24" s="7" t="s">
        <v>56</v>
      </c>
      <c r="I24" s="7" t="s">
        <v>57</v>
      </c>
      <c r="J24" s="7" t="s">
        <v>52</v>
      </c>
      <c r="K24" s="7" t="s">
        <v>258</v>
      </c>
      <c r="L24" s="12" t="str">
        <f>HYPERLINK("http://slimages.macys.com/is/image/MCY/2273991 ")</f>
        <v xml:space="preserve">http://slimages.macys.com/is/image/MCY/2273991 </v>
      </c>
      <c r="M24" s="13"/>
    </row>
    <row r="25" spans="1:13" ht="60" x14ac:dyDescent="0.25">
      <c r="A25" s="11" t="s">
        <v>259</v>
      </c>
      <c r="B25" s="7" t="s">
        <v>256</v>
      </c>
      <c r="C25" s="8">
        <v>1</v>
      </c>
      <c r="D25" s="9">
        <v>99.99</v>
      </c>
      <c r="E25" s="8">
        <v>650511968005</v>
      </c>
      <c r="F25" s="7" t="s">
        <v>93</v>
      </c>
      <c r="G25" s="11" t="s">
        <v>260</v>
      </c>
      <c r="H25" s="7" t="s">
        <v>56</v>
      </c>
      <c r="I25" s="7" t="s">
        <v>57</v>
      </c>
      <c r="J25" s="7"/>
      <c r="K25" s="7"/>
      <c r="L25" s="12" t="str">
        <f>HYPERLINK("http://slimages.macys.com/is/image/MCY/2273991 ")</f>
        <v xml:space="preserve">http://slimages.macys.com/is/image/MCY/2273991 </v>
      </c>
      <c r="M25" s="13"/>
    </row>
    <row r="26" spans="1:13" ht="60" x14ac:dyDescent="0.25">
      <c r="A26" s="11" t="s">
        <v>355</v>
      </c>
      <c r="B26" s="7" t="s">
        <v>256</v>
      </c>
      <c r="C26" s="8">
        <v>1</v>
      </c>
      <c r="D26" s="9">
        <v>79.989999999999995</v>
      </c>
      <c r="E26" s="8">
        <v>650511654005</v>
      </c>
      <c r="F26" s="7" t="s">
        <v>93</v>
      </c>
      <c r="G26" s="11"/>
      <c r="H26" s="7" t="s">
        <v>56</v>
      </c>
      <c r="I26" s="7" t="s">
        <v>57</v>
      </c>
      <c r="J26" s="7"/>
      <c r="K26" s="7"/>
      <c r="L26" s="12" t="str">
        <f>HYPERLINK("http://slimages.macys.com/is/image/MCY/2273991 ")</f>
        <v xml:space="preserve">http://slimages.macys.com/is/image/MCY/2273991 </v>
      </c>
      <c r="M26" s="13"/>
    </row>
    <row r="27" spans="1:13" ht="60" x14ac:dyDescent="0.25">
      <c r="A27" s="11" t="s">
        <v>653</v>
      </c>
      <c r="B27" s="7" t="s">
        <v>654</v>
      </c>
      <c r="C27" s="8">
        <v>3</v>
      </c>
      <c r="D27" s="9">
        <v>52.99</v>
      </c>
      <c r="E27" s="8" t="s">
        <v>655</v>
      </c>
      <c r="F27" s="7" t="s">
        <v>656</v>
      </c>
      <c r="G27" s="11"/>
      <c r="H27" s="7" t="s">
        <v>125</v>
      </c>
      <c r="I27" s="7" t="s">
        <v>657</v>
      </c>
      <c r="J27" s="7" t="s">
        <v>52</v>
      </c>
      <c r="K27" s="7" t="s">
        <v>121</v>
      </c>
      <c r="L27" s="12" t="str">
        <f>HYPERLINK("http://slimages.macys.com/is/image/MCY/10242497 ")</f>
        <v xml:space="preserve">http://slimages.macys.com/is/image/MCY/10242497 </v>
      </c>
      <c r="M27" s="13"/>
    </row>
    <row r="28" spans="1:13" ht="60" x14ac:dyDescent="0.25">
      <c r="A28" s="11" t="s">
        <v>1110</v>
      </c>
      <c r="B28" s="7" t="s">
        <v>1111</v>
      </c>
      <c r="C28" s="8">
        <v>2</v>
      </c>
      <c r="D28" s="9">
        <v>26.99</v>
      </c>
      <c r="E28" s="8" t="s">
        <v>1112</v>
      </c>
      <c r="F28" s="7" t="s">
        <v>93</v>
      </c>
      <c r="G28" s="11"/>
      <c r="H28" s="7" t="s">
        <v>125</v>
      </c>
      <c r="I28" s="7" t="s">
        <v>1089</v>
      </c>
      <c r="J28" s="7" t="s">
        <v>52</v>
      </c>
      <c r="K28" s="7" t="s">
        <v>110</v>
      </c>
      <c r="L28" s="12" t="str">
        <f>HYPERLINK("http://slimages.macys.com/is/image/MCY/11685915 ")</f>
        <v xml:space="preserve">http://slimages.macys.com/is/image/MCY/11685915 </v>
      </c>
      <c r="M28" s="13"/>
    </row>
    <row r="29" spans="1:13" ht="60" x14ac:dyDescent="0.25">
      <c r="A29" s="11" t="s">
        <v>1134</v>
      </c>
      <c r="B29" s="7" t="s">
        <v>1135</v>
      </c>
      <c r="C29" s="8">
        <v>2</v>
      </c>
      <c r="D29" s="9">
        <v>24.99</v>
      </c>
      <c r="E29" s="8" t="s">
        <v>1136</v>
      </c>
      <c r="F29" s="7" t="s">
        <v>1137</v>
      </c>
      <c r="G29" s="11"/>
      <c r="H29" s="7" t="s">
        <v>125</v>
      </c>
      <c r="I29" s="7" t="s">
        <v>1089</v>
      </c>
      <c r="J29" s="7" t="s">
        <v>52</v>
      </c>
      <c r="K29" s="7" t="s">
        <v>121</v>
      </c>
      <c r="L29" s="12" t="str">
        <f>HYPERLINK("http://slimages.macys.com/is/image/MCY/11685195 ")</f>
        <v xml:space="preserve">http://slimages.macys.com/is/image/MCY/11685195 </v>
      </c>
      <c r="M29" s="13"/>
    </row>
    <row r="30" spans="1:13" ht="60" x14ac:dyDescent="0.25">
      <c r="A30" s="11" t="s">
        <v>1085</v>
      </c>
      <c r="B30" s="7" t="s">
        <v>1086</v>
      </c>
      <c r="C30" s="8">
        <v>1</v>
      </c>
      <c r="D30" s="9">
        <v>28.99</v>
      </c>
      <c r="E30" s="8" t="s">
        <v>1087</v>
      </c>
      <c r="F30" s="7" t="s">
        <v>1088</v>
      </c>
      <c r="G30" s="11"/>
      <c r="H30" s="7" t="s">
        <v>125</v>
      </c>
      <c r="I30" s="7" t="s">
        <v>1089</v>
      </c>
      <c r="J30" s="7" t="s">
        <v>52</v>
      </c>
      <c r="K30" s="7" t="s">
        <v>121</v>
      </c>
      <c r="L30" s="12" t="str">
        <f>HYPERLINK("http://slimages.macys.com/is/image/MCY/11685326 ")</f>
        <v xml:space="preserve">http://slimages.macys.com/is/image/MCY/11685326 </v>
      </c>
      <c r="M30" s="13"/>
    </row>
    <row r="31" spans="1:13" ht="60" x14ac:dyDescent="0.25">
      <c r="A31" s="11" t="s">
        <v>1127</v>
      </c>
      <c r="B31" s="7" t="s">
        <v>1128</v>
      </c>
      <c r="C31" s="8">
        <v>1</v>
      </c>
      <c r="D31" s="9">
        <v>25.99</v>
      </c>
      <c r="E31" s="8" t="s">
        <v>1129</v>
      </c>
      <c r="F31" s="7" t="s">
        <v>87</v>
      </c>
      <c r="G31" s="11"/>
      <c r="H31" s="7" t="s">
        <v>125</v>
      </c>
      <c r="I31" s="7" t="s">
        <v>1089</v>
      </c>
      <c r="J31" s="7" t="s">
        <v>52</v>
      </c>
      <c r="K31" s="7" t="s">
        <v>110</v>
      </c>
      <c r="L31" s="12" t="str">
        <f>HYPERLINK("http://slimages.macys.com/is/image/MCY/11685346 ")</f>
        <v xml:space="preserve">http://slimages.macys.com/is/image/MCY/11685346 </v>
      </c>
      <c r="M31" s="13"/>
    </row>
    <row r="32" spans="1:13" ht="60" x14ac:dyDescent="0.25">
      <c r="A32" s="11" t="s">
        <v>1201</v>
      </c>
      <c r="B32" s="7" t="s">
        <v>1202</v>
      </c>
      <c r="C32" s="8">
        <v>1</v>
      </c>
      <c r="D32" s="9">
        <v>16.989999999999998</v>
      </c>
      <c r="E32" s="8" t="s">
        <v>1203</v>
      </c>
      <c r="F32" s="7" t="s">
        <v>43</v>
      </c>
      <c r="G32" s="11"/>
      <c r="H32" s="7" t="s">
        <v>70</v>
      </c>
      <c r="I32" s="7" t="s">
        <v>1204</v>
      </c>
      <c r="J32" s="7" t="s">
        <v>52</v>
      </c>
      <c r="K32" s="7" t="s">
        <v>1205</v>
      </c>
      <c r="L32" s="12" t="str">
        <f>HYPERLINK("http://slimages.macys.com/is/image/MCY/14359156 ")</f>
        <v xml:space="preserve">http://slimages.macys.com/is/image/MCY/14359156 </v>
      </c>
      <c r="M32" s="13"/>
    </row>
    <row r="33" spans="1:13" ht="60" x14ac:dyDescent="0.25">
      <c r="A33" s="11" t="s">
        <v>418</v>
      </c>
      <c r="B33" s="7" t="s">
        <v>419</v>
      </c>
      <c r="C33" s="8">
        <v>1</v>
      </c>
      <c r="D33" s="9">
        <v>59.99</v>
      </c>
      <c r="E33" s="8" t="s">
        <v>420</v>
      </c>
      <c r="F33" s="7" t="s">
        <v>93</v>
      </c>
      <c r="G33" s="11"/>
      <c r="H33" s="7" t="s">
        <v>369</v>
      </c>
      <c r="I33" s="7" t="s">
        <v>370</v>
      </c>
      <c r="J33" s="7"/>
      <c r="K33" s="7"/>
      <c r="L33" s="12" t="str">
        <f>HYPERLINK("http://slimages.macys.com/is/image/MCY/18064918 ")</f>
        <v xml:space="preserve">http://slimages.macys.com/is/image/MCY/18064918 </v>
      </c>
      <c r="M33" s="13"/>
    </row>
    <row r="34" spans="1:13" ht="60" x14ac:dyDescent="0.25">
      <c r="A34" s="11" t="s">
        <v>418</v>
      </c>
      <c r="B34" s="7" t="s">
        <v>419</v>
      </c>
      <c r="C34" s="8">
        <v>1</v>
      </c>
      <c r="D34" s="9">
        <v>59.99</v>
      </c>
      <c r="E34" s="8" t="s">
        <v>420</v>
      </c>
      <c r="F34" s="7" t="s">
        <v>93</v>
      </c>
      <c r="G34" s="11"/>
      <c r="H34" s="7" t="s">
        <v>369</v>
      </c>
      <c r="I34" s="7" t="s">
        <v>370</v>
      </c>
      <c r="J34" s="7"/>
      <c r="K34" s="7"/>
      <c r="L34" s="12" t="str">
        <f>HYPERLINK("http://slimages.macys.com/is/image/MCY/18064918 ")</f>
        <v xml:space="preserve">http://slimages.macys.com/is/image/MCY/18064918 </v>
      </c>
      <c r="M34" s="13"/>
    </row>
    <row r="35" spans="1:13" ht="24" x14ac:dyDescent="0.25">
      <c r="A35" s="11" t="s">
        <v>1425</v>
      </c>
      <c r="B35" s="7" t="s">
        <v>1426</v>
      </c>
      <c r="C35" s="8">
        <v>2</v>
      </c>
      <c r="D35" s="9">
        <v>49.99</v>
      </c>
      <c r="E35" s="8" t="s">
        <v>1427</v>
      </c>
      <c r="F35" s="7" t="s">
        <v>108</v>
      </c>
      <c r="G35" s="11"/>
      <c r="H35" s="7" t="s">
        <v>369</v>
      </c>
      <c r="I35" s="7" t="s">
        <v>370</v>
      </c>
      <c r="J35" s="7"/>
      <c r="K35" s="7"/>
      <c r="L35" s="12"/>
      <c r="M35" s="13"/>
    </row>
    <row r="36" spans="1:13" ht="24" x14ac:dyDescent="0.25">
      <c r="A36" s="11" t="s">
        <v>1425</v>
      </c>
      <c r="B36" s="7" t="s">
        <v>1426</v>
      </c>
      <c r="C36" s="8">
        <v>3</v>
      </c>
      <c r="D36" s="9">
        <v>49.99</v>
      </c>
      <c r="E36" s="8" t="s">
        <v>1427</v>
      </c>
      <c r="F36" s="7" t="s">
        <v>108</v>
      </c>
      <c r="G36" s="11"/>
      <c r="H36" s="7" t="s">
        <v>369</v>
      </c>
      <c r="I36" s="7" t="s">
        <v>370</v>
      </c>
      <c r="J36" s="7"/>
      <c r="K36" s="7"/>
      <c r="L36" s="12"/>
      <c r="M36" s="13"/>
    </row>
    <row r="37" spans="1:13" ht="60" x14ac:dyDescent="0.25">
      <c r="A37" s="11" t="s">
        <v>549</v>
      </c>
      <c r="B37" s="7" t="s">
        <v>550</v>
      </c>
      <c r="C37" s="8">
        <v>4</v>
      </c>
      <c r="D37" s="9">
        <v>49.99</v>
      </c>
      <c r="E37" s="8" t="s">
        <v>551</v>
      </c>
      <c r="F37" s="7" t="s">
        <v>43</v>
      </c>
      <c r="G37" s="11"/>
      <c r="H37" s="7" t="s">
        <v>369</v>
      </c>
      <c r="I37" s="7" t="s">
        <v>370</v>
      </c>
      <c r="J37" s="7"/>
      <c r="K37" s="7"/>
      <c r="L37" s="12" t="str">
        <f>HYPERLINK("http://slimages.macys.com/is/image/MCY/19022843 ")</f>
        <v xml:space="preserve">http://slimages.macys.com/is/image/MCY/19022843 </v>
      </c>
      <c r="M37" s="13"/>
    </row>
    <row r="38" spans="1:13" ht="60" x14ac:dyDescent="0.25">
      <c r="A38" s="11" t="s">
        <v>543</v>
      </c>
      <c r="B38" s="7" t="s">
        <v>544</v>
      </c>
      <c r="C38" s="8">
        <v>2</v>
      </c>
      <c r="D38" s="9">
        <v>49.99</v>
      </c>
      <c r="E38" s="8" t="s">
        <v>545</v>
      </c>
      <c r="F38" s="7" t="s">
        <v>103</v>
      </c>
      <c r="G38" s="11"/>
      <c r="H38" s="7" t="s">
        <v>369</v>
      </c>
      <c r="I38" s="7" t="s">
        <v>370</v>
      </c>
      <c r="J38" s="7"/>
      <c r="K38" s="7"/>
      <c r="L38" s="12" t="str">
        <f>HYPERLINK("http://slimages.macys.com/is/image/MCY/19022847 ")</f>
        <v xml:space="preserve">http://slimages.macys.com/is/image/MCY/19022847 </v>
      </c>
      <c r="M38" s="13"/>
    </row>
    <row r="39" spans="1:13" ht="60" x14ac:dyDescent="0.25">
      <c r="A39" s="11" t="s">
        <v>552</v>
      </c>
      <c r="B39" s="7" t="s">
        <v>544</v>
      </c>
      <c r="C39" s="8">
        <v>1</v>
      </c>
      <c r="D39" s="9">
        <v>49.99</v>
      </c>
      <c r="E39" s="8" t="s">
        <v>553</v>
      </c>
      <c r="F39" s="7" t="s">
        <v>103</v>
      </c>
      <c r="G39" s="11"/>
      <c r="H39" s="7" t="s">
        <v>369</v>
      </c>
      <c r="I39" s="7" t="s">
        <v>370</v>
      </c>
      <c r="J39" s="7"/>
      <c r="K39" s="7"/>
      <c r="L39" s="12" t="str">
        <f>HYPERLINK("http://slimages.macys.com/is/image/MCY/19022839 ")</f>
        <v xml:space="preserve">http://slimages.macys.com/is/image/MCY/19022839 </v>
      </c>
      <c r="M39" s="13"/>
    </row>
    <row r="40" spans="1:13" ht="60" x14ac:dyDescent="0.25">
      <c r="A40" s="11" t="s">
        <v>546</v>
      </c>
      <c r="B40" s="7" t="s">
        <v>547</v>
      </c>
      <c r="C40" s="8">
        <v>2</v>
      </c>
      <c r="D40" s="9">
        <v>49.99</v>
      </c>
      <c r="E40" s="8" t="s">
        <v>548</v>
      </c>
      <c r="F40" s="7" t="s">
        <v>43</v>
      </c>
      <c r="G40" s="11"/>
      <c r="H40" s="7" t="s">
        <v>369</v>
      </c>
      <c r="I40" s="7" t="s">
        <v>370</v>
      </c>
      <c r="J40" s="7"/>
      <c r="K40" s="7"/>
      <c r="L40" s="12" t="str">
        <f>HYPERLINK("http://slimages.macys.com/is/image/MCY/19022839 ")</f>
        <v xml:space="preserve">http://slimages.macys.com/is/image/MCY/19022839 </v>
      </c>
      <c r="M40" s="13"/>
    </row>
    <row r="41" spans="1:13" ht="60" x14ac:dyDescent="0.25">
      <c r="A41" s="11" t="s">
        <v>546</v>
      </c>
      <c r="B41" s="7" t="s">
        <v>547</v>
      </c>
      <c r="C41" s="8">
        <v>1</v>
      </c>
      <c r="D41" s="9">
        <v>49.99</v>
      </c>
      <c r="E41" s="8" t="s">
        <v>548</v>
      </c>
      <c r="F41" s="7" t="s">
        <v>43</v>
      </c>
      <c r="G41" s="11"/>
      <c r="H41" s="7" t="s">
        <v>369</v>
      </c>
      <c r="I41" s="7" t="s">
        <v>370</v>
      </c>
      <c r="J41" s="7"/>
      <c r="K41" s="7"/>
      <c r="L41" s="12" t="str">
        <f>HYPERLINK("http://slimages.macys.com/is/image/MCY/19022839 ")</f>
        <v xml:space="preserve">http://slimages.macys.com/is/image/MCY/19022839 </v>
      </c>
      <c r="M41" s="13"/>
    </row>
    <row r="42" spans="1:13" ht="60" x14ac:dyDescent="0.25">
      <c r="A42" s="11" t="s">
        <v>546</v>
      </c>
      <c r="B42" s="7" t="s">
        <v>547</v>
      </c>
      <c r="C42" s="8">
        <v>8</v>
      </c>
      <c r="D42" s="9">
        <v>49.99</v>
      </c>
      <c r="E42" s="8" t="s">
        <v>548</v>
      </c>
      <c r="F42" s="7" t="s">
        <v>43</v>
      </c>
      <c r="G42" s="11"/>
      <c r="H42" s="7" t="s">
        <v>369</v>
      </c>
      <c r="I42" s="7" t="s">
        <v>370</v>
      </c>
      <c r="J42" s="7"/>
      <c r="K42" s="7"/>
      <c r="L42" s="12" t="str">
        <f>HYPERLINK("http://slimages.macys.com/is/image/MCY/19022839 ")</f>
        <v xml:space="preserve">http://slimages.macys.com/is/image/MCY/19022839 </v>
      </c>
      <c r="M42" s="13"/>
    </row>
    <row r="43" spans="1:13" ht="60" x14ac:dyDescent="0.25">
      <c r="A43" s="11" t="s">
        <v>371</v>
      </c>
      <c r="B43" s="7" t="s">
        <v>372</v>
      </c>
      <c r="C43" s="8">
        <v>2</v>
      </c>
      <c r="D43" s="9">
        <v>59.99</v>
      </c>
      <c r="E43" s="8" t="s">
        <v>373</v>
      </c>
      <c r="F43" s="7" t="s">
        <v>103</v>
      </c>
      <c r="G43" s="11"/>
      <c r="H43" s="7" t="s">
        <v>369</v>
      </c>
      <c r="I43" s="7" t="s">
        <v>370</v>
      </c>
      <c r="J43" s="7"/>
      <c r="K43" s="7"/>
      <c r="L43" s="12" t="str">
        <f>HYPERLINK("http://slimages.macys.com/is/image/MCY/17822517 ")</f>
        <v xml:space="preserve">http://slimages.macys.com/is/image/MCY/17822517 </v>
      </c>
      <c r="M43" s="13"/>
    </row>
    <row r="44" spans="1:13" ht="60" x14ac:dyDescent="0.25">
      <c r="A44" s="11" t="s">
        <v>366</v>
      </c>
      <c r="B44" s="7" t="s">
        <v>367</v>
      </c>
      <c r="C44" s="8">
        <v>3</v>
      </c>
      <c r="D44" s="9">
        <v>59.99</v>
      </c>
      <c r="E44" s="8" t="s">
        <v>368</v>
      </c>
      <c r="F44" s="7" t="s">
        <v>43</v>
      </c>
      <c r="G44" s="11"/>
      <c r="H44" s="7" t="s">
        <v>369</v>
      </c>
      <c r="I44" s="7" t="s">
        <v>370</v>
      </c>
      <c r="J44" s="7"/>
      <c r="K44" s="7"/>
      <c r="L44" s="12" t="str">
        <f>HYPERLINK("http://slimages.macys.com/is/image/MCY/17822517 ")</f>
        <v xml:space="preserve">http://slimages.macys.com/is/image/MCY/17822517 </v>
      </c>
      <c r="M44" s="13"/>
    </row>
    <row r="45" spans="1:13" ht="60" x14ac:dyDescent="0.25">
      <c r="A45" s="11" t="s">
        <v>366</v>
      </c>
      <c r="B45" s="7" t="s">
        <v>367</v>
      </c>
      <c r="C45" s="8">
        <v>3</v>
      </c>
      <c r="D45" s="9">
        <v>59.99</v>
      </c>
      <c r="E45" s="8" t="s">
        <v>368</v>
      </c>
      <c r="F45" s="7" t="s">
        <v>43</v>
      </c>
      <c r="G45" s="11"/>
      <c r="H45" s="7" t="s">
        <v>369</v>
      </c>
      <c r="I45" s="7" t="s">
        <v>370</v>
      </c>
      <c r="J45" s="7"/>
      <c r="K45" s="7"/>
      <c r="L45" s="12" t="str">
        <f>HYPERLINK("http://slimages.macys.com/is/image/MCY/17822517 ")</f>
        <v xml:space="preserve">http://slimages.macys.com/is/image/MCY/17822517 </v>
      </c>
      <c r="M45" s="13"/>
    </row>
    <row r="46" spans="1:13" ht="60" x14ac:dyDescent="0.25">
      <c r="A46" s="11" t="s">
        <v>1050</v>
      </c>
      <c r="B46" s="7" t="s">
        <v>1051</v>
      </c>
      <c r="C46" s="8">
        <v>1</v>
      </c>
      <c r="D46" s="9">
        <v>25.99</v>
      </c>
      <c r="E46" s="8">
        <v>56802</v>
      </c>
      <c r="F46" s="7" t="s">
        <v>1052</v>
      </c>
      <c r="G46" s="11"/>
      <c r="H46" s="7" t="s">
        <v>125</v>
      </c>
      <c r="I46" s="7" t="s">
        <v>1053</v>
      </c>
      <c r="J46" s="7" t="s">
        <v>52</v>
      </c>
      <c r="K46" s="7" t="s">
        <v>241</v>
      </c>
      <c r="L46" s="12" t="str">
        <f>HYPERLINK("http://slimages.macys.com/is/image/MCY/16061391 ")</f>
        <v xml:space="preserve">http://slimages.macys.com/is/image/MCY/16061391 </v>
      </c>
      <c r="M46" s="13"/>
    </row>
    <row r="47" spans="1:13" ht="36" x14ac:dyDescent="0.25">
      <c r="A47" s="11" t="s">
        <v>1390</v>
      </c>
      <c r="B47" s="7" t="s">
        <v>1391</v>
      </c>
      <c r="C47" s="8">
        <v>1</v>
      </c>
      <c r="D47" s="9">
        <v>495</v>
      </c>
      <c r="E47" s="8" t="s">
        <v>1392</v>
      </c>
      <c r="F47" s="7" t="s">
        <v>43</v>
      </c>
      <c r="G47" s="11"/>
      <c r="H47" s="7" t="s">
        <v>98</v>
      </c>
      <c r="I47" s="7" t="s">
        <v>1393</v>
      </c>
      <c r="J47" s="7"/>
      <c r="K47" s="7"/>
      <c r="L47" s="12"/>
      <c r="M47" s="13"/>
    </row>
    <row r="48" spans="1:13" ht="36" x14ac:dyDescent="0.25">
      <c r="A48" s="11" t="s">
        <v>1405</v>
      </c>
      <c r="B48" s="7" t="s">
        <v>1406</v>
      </c>
      <c r="C48" s="8">
        <v>1</v>
      </c>
      <c r="D48" s="9">
        <v>125</v>
      </c>
      <c r="E48" s="8" t="s">
        <v>1407</v>
      </c>
      <c r="F48" s="7" t="s">
        <v>43</v>
      </c>
      <c r="G48" s="11"/>
      <c r="H48" s="7" t="s">
        <v>98</v>
      </c>
      <c r="I48" s="7" t="s">
        <v>1393</v>
      </c>
      <c r="J48" s="7"/>
      <c r="K48" s="7"/>
      <c r="L48" s="12"/>
      <c r="M48" s="13"/>
    </row>
    <row r="49" spans="1:13" ht="60" x14ac:dyDescent="0.25">
      <c r="A49" s="11" t="s">
        <v>1147</v>
      </c>
      <c r="B49" s="7" t="s">
        <v>1148</v>
      </c>
      <c r="C49" s="8">
        <v>1</v>
      </c>
      <c r="D49" s="9">
        <v>17.989999999999998</v>
      </c>
      <c r="E49" s="8" t="s">
        <v>1149</v>
      </c>
      <c r="F49" s="7" t="s">
        <v>49</v>
      </c>
      <c r="G49" s="11" t="s">
        <v>1150</v>
      </c>
      <c r="H49" s="7" t="s">
        <v>720</v>
      </c>
      <c r="I49" s="7" t="s">
        <v>1151</v>
      </c>
      <c r="J49" s="7" t="s">
        <v>52</v>
      </c>
      <c r="K49" s="7" t="s">
        <v>516</v>
      </c>
      <c r="L49" s="12" t="str">
        <f>HYPERLINK("http://slimages.macys.com/is/image/MCY/1119571 ")</f>
        <v xml:space="preserve">http://slimages.macys.com/is/image/MCY/1119571 </v>
      </c>
      <c r="M49" s="13"/>
    </row>
    <row r="50" spans="1:13" ht="60" x14ac:dyDescent="0.25">
      <c r="A50" s="11" t="s">
        <v>1096</v>
      </c>
      <c r="B50" s="7" t="s">
        <v>1097</v>
      </c>
      <c r="C50" s="8">
        <v>5</v>
      </c>
      <c r="D50" s="9">
        <v>18</v>
      </c>
      <c r="E50" s="8" t="s">
        <v>1098</v>
      </c>
      <c r="F50" s="7" t="s">
        <v>32</v>
      </c>
      <c r="G50" s="11"/>
      <c r="H50" s="7" t="s">
        <v>33</v>
      </c>
      <c r="I50" s="7" t="s">
        <v>443</v>
      </c>
      <c r="J50" s="7" t="s">
        <v>132</v>
      </c>
      <c r="K50" s="7"/>
      <c r="L50" s="12" t="str">
        <f>HYPERLINK("http://slimages.macys.com/is/image/MCY/16254224 ")</f>
        <v xml:space="preserve">http://slimages.macys.com/is/image/MCY/16254224 </v>
      </c>
      <c r="M50" s="13"/>
    </row>
    <row r="51" spans="1:13" ht="60" x14ac:dyDescent="0.25">
      <c r="A51" s="11" t="s">
        <v>440</v>
      </c>
      <c r="B51" s="7" t="s">
        <v>441</v>
      </c>
      <c r="C51" s="8">
        <v>47</v>
      </c>
      <c r="D51" s="9">
        <v>48</v>
      </c>
      <c r="E51" s="8" t="s">
        <v>442</v>
      </c>
      <c r="F51" s="7" t="s">
        <v>32</v>
      </c>
      <c r="G51" s="11"/>
      <c r="H51" s="7" t="s">
        <v>33</v>
      </c>
      <c r="I51" s="7" t="s">
        <v>443</v>
      </c>
      <c r="J51" s="7" t="s">
        <v>132</v>
      </c>
      <c r="K51" s="7"/>
      <c r="L51" s="12" t="str">
        <f>HYPERLINK("http://slimages.macys.com/is/image/MCY/16254132 ")</f>
        <v xml:space="preserve">http://slimages.macys.com/is/image/MCY/16254132 </v>
      </c>
      <c r="M51" s="13"/>
    </row>
    <row r="52" spans="1:13" ht="60" x14ac:dyDescent="0.25">
      <c r="A52" s="11" t="s">
        <v>792</v>
      </c>
      <c r="B52" s="7" t="s">
        <v>793</v>
      </c>
      <c r="C52" s="8">
        <v>2</v>
      </c>
      <c r="D52" s="9">
        <v>36.99</v>
      </c>
      <c r="E52" s="8" t="s">
        <v>794</v>
      </c>
      <c r="F52" s="7" t="s">
        <v>32</v>
      </c>
      <c r="G52" s="11"/>
      <c r="H52" s="7" t="s">
        <v>125</v>
      </c>
      <c r="I52" s="7" t="s">
        <v>235</v>
      </c>
      <c r="J52" s="7" t="s">
        <v>132</v>
      </c>
      <c r="K52" s="7" t="s">
        <v>121</v>
      </c>
      <c r="L52" s="12" t="str">
        <f>HYPERLINK("http://slimages.macys.com/is/image/MCY/10218729 ")</f>
        <v xml:space="preserve">http://slimages.macys.com/is/image/MCY/10218729 </v>
      </c>
      <c r="M52" s="13"/>
    </row>
    <row r="53" spans="1:13" ht="132" x14ac:dyDescent="0.25">
      <c r="A53" s="11" t="s">
        <v>232</v>
      </c>
      <c r="B53" s="7" t="s">
        <v>233</v>
      </c>
      <c r="C53" s="8">
        <v>1</v>
      </c>
      <c r="D53" s="9">
        <v>118.99</v>
      </c>
      <c r="E53" s="8" t="s">
        <v>234</v>
      </c>
      <c r="F53" s="7" t="s">
        <v>93</v>
      </c>
      <c r="G53" s="11"/>
      <c r="H53" s="7" t="s">
        <v>125</v>
      </c>
      <c r="I53" s="7" t="s">
        <v>235</v>
      </c>
      <c r="J53" s="7" t="s">
        <v>52</v>
      </c>
      <c r="K53" s="7" t="s">
        <v>236</v>
      </c>
      <c r="L53" s="12" t="str">
        <f>HYPERLINK("http://slimages.macys.com/is/image/MCY/10972647 ")</f>
        <v xml:space="preserve">http://slimages.macys.com/is/image/MCY/10972647 </v>
      </c>
      <c r="M53" s="13"/>
    </row>
    <row r="54" spans="1:13" ht="132" x14ac:dyDescent="0.25">
      <c r="A54" s="11" t="s">
        <v>702</v>
      </c>
      <c r="B54" s="7" t="s">
        <v>703</v>
      </c>
      <c r="C54" s="8">
        <v>1</v>
      </c>
      <c r="D54" s="9">
        <v>49.99</v>
      </c>
      <c r="E54" s="8" t="s">
        <v>704</v>
      </c>
      <c r="F54" s="7" t="s">
        <v>32</v>
      </c>
      <c r="G54" s="11" t="s">
        <v>185</v>
      </c>
      <c r="H54" s="7" t="s">
        <v>125</v>
      </c>
      <c r="I54" s="7" t="s">
        <v>705</v>
      </c>
      <c r="J54" s="7" t="s">
        <v>52</v>
      </c>
      <c r="K54" s="7" t="s">
        <v>706</v>
      </c>
      <c r="L54" s="12" t="str">
        <f>HYPERLINK("http://slimages.macys.com/is/image/MCY/14891950 ")</f>
        <v xml:space="preserve">http://slimages.macys.com/is/image/MCY/14891950 </v>
      </c>
      <c r="M54" s="13"/>
    </row>
    <row r="55" spans="1:13" ht="60" x14ac:dyDescent="0.25">
      <c r="A55" s="11" t="s">
        <v>993</v>
      </c>
      <c r="B55" s="7" t="s">
        <v>994</v>
      </c>
      <c r="C55" s="8">
        <v>16</v>
      </c>
      <c r="D55" s="9">
        <v>32.99</v>
      </c>
      <c r="E55" s="8" t="s">
        <v>995</v>
      </c>
      <c r="F55" s="7" t="s">
        <v>642</v>
      </c>
      <c r="G55" s="11"/>
      <c r="H55" s="7" t="s">
        <v>125</v>
      </c>
      <c r="I55" s="7" t="s">
        <v>705</v>
      </c>
      <c r="J55" s="7" t="s">
        <v>52</v>
      </c>
      <c r="K55" s="7" t="s">
        <v>110</v>
      </c>
      <c r="L55" s="12" t="str">
        <f>HYPERLINK("http://slimages.macys.com/is/image/MCY/14892320 ")</f>
        <v xml:space="preserve">http://slimages.macys.com/is/image/MCY/14892320 </v>
      </c>
      <c r="M55" s="13"/>
    </row>
    <row r="56" spans="1:13" ht="84" x14ac:dyDescent="0.25">
      <c r="A56" s="11" t="s">
        <v>154</v>
      </c>
      <c r="B56" s="7" t="s">
        <v>155</v>
      </c>
      <c r="C56" s="8">
        <v>1</v>
      </c>
      <c r="D56" s="9">
        <v>149.99</v>
      </c>
      <c r="E56" s="8" t="s">
        <v>156</v>
      </c>
      <c r="F56" s="7" t="s">
        <v>93</v>
      </c>
      <c r="G56" s="11"/>
      <c r="H56" s="7" t="s">
        <v>79</v>
      </c>
      <c r="I56" s="7" t="s">
        <v>80</v>
      </c>
      <c r="J56" s="7" t="s">
        <v>52</v>
      </c>
      <c r="K56" s="7" t="s">
        <v>157</v>
      </c>
      <c r="L56" s="12" t="str">
        <f>HYPERLINK("http://slimages.macys.com/is/image/MCY/10989742 ")</f>
        <v xml:space="preserve">http://slimages.macys.com/is/image/MCY/10989742 </v>
      </c>
      <c r="M56" s="13"/>
    </row>
    <row r="57" spans="1:13" ht="120" x14ac:dyDescent="0.25">
      <c r="A57" s="11" t="s">
        <v>191</v>
      </c>
      <c r="B57" s="7" t="s">
        <v>192</v>
      </c>
      <c r="C57" s="8">
        <v>1</v>
      </c>
      <c r="D57" s="9">
        <v>139.99</v>
      </c>
      <c r="E57" s="8" t="s">
        <v>193</v>
      </c>
      <c r="F57" s="7" t="s">
        <v>93</v>
      </c>
      <c r="G57" s="11"/>
      <c r="H57" s="7" t="s">
        <v>79</v>
      </c>
      <c r="I57" s="7" t="s">
        <v>80</v>
      </c>
      <c r="J57" s="7" t="s">
        <v>52</v>
      </c>
      <c r="K57" s="7" t="s">
        <v>194</v>
      </c>
      <c r="L57" s="12" t="str">
        <f>HYPERLINK("http://slimages.macys.com/is/image/MCY/10989486 ")</f>
        <v xml:space="preserve">http://slimages.macys.com/is/image/MCY/10989486 </v>
      </c>
      <c r="M57" s="13"/>
    </row>
    <row r="58" spans="1:13" ht="60" x14ac:dyDescent="0.25">
      <c r="A58" s="11" t="s">
        <v>1225</v>
      </c>
      <c r="B58" s="7" t="s">
        <v>1226</v>
      </c>
      <c r="C58" s="8">
        <v>2</v>
      </c>
      <c r="D58" s="9">
        <v>22.24</v>
      </c>
      <c r="E58" s="8" t="s">
        <v>1227</v>
      </c>
      <c r="F58" s="7" t="s">
        <v>63</v>
      </c>
      <c r="G58" s="11" t="s">
        <v>269</v>
      </c>
      <c r="H58" s="7" t="s">
        <v>125</v>
      </c>
      <c r="I58" s="7" t="s">
        <v>578</v>
      </c>
      <c r="J58" s="7" t="s">
        <v>52</v>
      </c>
      <c r="K58" s="7" t="s">
        <v>110</v>
      </c>
      <c r="L58" s="12" t="str">
        <f>HYPERLINK("http://slimages.macys.com/is/image/MCY/10200548 ")</f>
        <v xml:space="preserve">http://slimages.macys.com/is/image/MCY/10200548 </v>
      </c>
      <c r="M58" s="13"/>
    </row>
    <row r="59" spans="1:13" ht="60" x14ac:dyDescent="0.25">
      <c r="A59" s="11" t="s">
        <v>76</v>
      </c>
      <c r="B59" s="7" t="s">
        <v>77</v>
      </c>
      <c r="C59" s="8">
        <v>1</v>
      </c>
      <c r="D59" s="9">
        <v>199.99</v>
      </c>
      <c r="E59" s="8" t="s">
        <v>78</v>
      </c>
      <c r="F59" s="7" t="s">
        <v>49</v>
      </c>
      <c r="G59" s="11"/>
      <c r="H59" s="7" t="s">
        <v>79</v>
      </c>
      <c r="I59" s="7" t="s">
        <v>80</v>
      </c>
      <c r="J59" s="7" t="s">
        <v>52</v>
      </c>
      <c r="K59" s="7"/>
      <c r="L59" s="12" t="str">
        <f>HYPERLINK("http://slimages.macys.com/is/image/MCY/11858866 ")</f>
        <v xml:space="preserve">http://slimages.macys.com/is/image/MCY/11858866 </v>
      </c>
      <c r="M59" s="13"/>
    </row>
    <row r="60" spans="1:13" ht="60" x14ac:dyDescent="0.25">
      <c r="A60" s="11" t="s">
        <v>937</v>
      </c>
      <c r="B60" s="7" t="s">
        <v>938</v>
      </c>
      <c r="C60" s="8">
        <v>1</v>
      </c>
      <c r="D60" s="9">
        <v>43.99</v>
      </c>
      <c r="E60" s="8" t="s">
        <v>939</v>
      </c>
      <c r="F60" s="7" t="s">
        <v>494</v>
      </c>
      <c r="G60" s="11" t="s">
        <v>393</v>
      </c>
      <c r="H60" s="7" t="s">
        <v>125</v>
      </c>
      <c r="I60" s="7" t="s">
        <v>578</v>
      </c>
      <c r="J60" s="7" t="s">
        <v>52</v>
      </c>
      <c r="K60" s="7" t="s">
        <v>516</v>
      </c>
      <c r="L60" s="12" t="str">
        <f>HYPERLINK("http://slimages.macys.com/is/image/MCY/11495039 ")</f>
        <v xml:space="preserve">http://slimages.macys.com/is/image/MCY/11495039 </v>
      </c>
      <c r="M60" s="13"/>
    </row>
    <row r="61" spans="1:13" ht="24" x14ac:dyDescent="0.25">
      <c r="A61" s="11" t="s">
        <v>1462</v>
      </c>
      <c r="B61" s="7" t="s">
        <v>1463</v>
      </c>
      <c r="C61" s="8">
        <v>6</v>
      </c>
      <c r="D61" s="9">
        <v>3</v>
      </c>
      <c r="E61" s="8">
        <v>9005</v>
      </c>
      <c r="F61" s="7" t="s">
        <v>32</v>
      </c>
      <c r="G61" s="11" t="s">
        <v>269</v>
      </c>
      <c r="H61" s="7" t="s">
        <v>1352</v>
      </c>
      <c r="I61" s="7" t="s">
        <v>1464</v>
      </c>
      <c r="J61" s="7"/>
      <c r="K61" s="7"/>
      <c r="L61" s="12"/>
      <c r="M61" s="13"/>
    </row>
    <row r="62" spans="1:13" ht="72" x14ac:dyDescent="0.25">
      <c r="A62" s="11" t="s">
        <v>158</v>
      </c>
      <c r="B62" s="7" t="s">
        <v>159</v>
      </c>
      <c r="C62" s="8">
        <v>1</v>
      </c>
      <c r="D62" s="9">
        <v>149.99</v>
      </c>
      <c r="E62" s="8">
        <v>214111</v>
      </c>
      <c r="F62" s="7" t="s">
        <v>43</v>
      </c>
      <c r="G62" s="11" t="s">
        <v>160</v>
      </c>
      <c r="H62" s="7" t="s">
        <v>70</v>
      </c>
      <c r="I62" s="7" t="s">
        <v>161</v>
      </c>
      <c r="J62" s="7" t="s">
        <v>162</v>
      </c>
      <c r="K62" s="7" t="s">
        <v>163</v>
      </c>
      <c r="L62" s="12" t="str">
        <f>HYPERLINK("http://slimages.macys.com/is/image/MCY/1760637 ")</f>
        <v xml:space="preserve">http://slimages.macys.com/is/image/MCY/1760637 </v>
      </c>
      <c r="M62" s="13"/>
    </row>
    <row r="63" spans="1:13" ht="60" x14ac:dyDescent="0.25">
      <c r="A63" s="11" t="s">
        <v>1030</v>
      </c>
      <c r="B63" s="7" t="s">
        <v>1031</v>
      </c>
      <c r="C63" s="8">
        <v>1</v>
      </c>
      <c r="D63" s="9">
        <v>33</v>
      </c>
      <c r="E63" s="8">
        <v>651690390010</v>
      </c>
      <c r="F63" s="7" t="s">
        <v>93</v>
      </c>
      <c r="G63" s="11" t="s">
        <v>797</v>
      </c>
      <c r="H63" s="7" t="s">
        <v>720</v>
      </c>
      <c r="I63" s="7" t="s">
        <v>57</v>
      </c>
      <c r="J63" s="7" t="s">
        <v>1032</v>
      </c>
      <c r="K63" s="7" t="s">
        <v>59</v>
      </c>
      <c r="L63" s="12" t="str">
        <f>HYPERLINK("http://images.bloomingdales.com/is/image/BLM/9627063 ")</f>
        <v xml:space="preserve">http://images.bloomingdales.com/is/image/BLM/9627063 </v>
      </c>
      <c r="M63" s="13"/>
    </row>
    <row r="64" spans="1:13" ht="60" x14ac:dyDescent="0.25">
      <c r="A64" s="11" t="s">
        <v>37</v>
      </c>
      <c r="B64" s="7" t="s">
        <v>38</v>
      </c>
      <c r="C64" s="8">
        <v>1</v>
      </c>
      <c r="D64" s="9">
        <v>288</v>
      </c>
      <c r="E64" s="8" t="s">
        <v>39</v>
      </c>
      <c r="F64" s="7" t="s">
        <v>32</v>
      </c>
      <c r="G64" s="11"/>
      <c r="H64" s="7" t="s">
        <v>33</v>
      </c>
      <c r="I64" s="7" t="s">
        <v>34</v>
      </c>
      <c r="J64" s="7" t="s">
        <v>35</v>
      </c>
      <c r="K64" s="7" t="s">
        <v>40</v>
      </c>
      <c r="L64" s="12" t="str">
        <f>HYPERLINK("http://images.bloomingdales.com/is/image/BLM/9817524 ")</f>
        <v xml:space="preserve">http://images.bloomingdales.com/is/image/BLM/9817524 </v>
      </c>
      <c r="M64" s="13"/>
    </row>
    <row r="65" spans="1:13" ht="60" x14ac:dyDescent="0.25">
      <c r="A65" s="11" t="s">
        <v>314</v>
      </c>
      <c r="B65" s="7" t="s">
        <v>315</v>
      </c>
      <c r="C65" s="8">
        <v>1</v>
      </c>
      <c r="D65" s="9">
        <v>89.99</v>
      </c>
      <c r="E65" s="8" t="s">
        <v>316</v>
      </c>
      <c r="F65" s="7" t="s">
        <v>317</v>
      </c>
      <c r="G65" s="11"/>
      <c r="H65" s="7" t="s">
        <v>98</v>
      </c>
      <c r="I65" s="7" t="s">
        <v>99</v>
      </c>
      <c r="J65" s="7" t="s">
        <v>52</v>
      </c>
      <c r="K65" s="7"/>
      <c r="L65" s="12" t="str">
        <f>HYPERLINK("http://slimages.macys.com/is/image/MCY/8687979 ")</f>
        <v xml:space="preserve">http://slimages.macys.com/is/image/MCY/8687979 </v>
      </c>
      <c r="M65" s="13"/>
    </row>
    <row r="66" spans="1:13" ht="60" x14ac:dyDescent="0.25">
      <c r="A66" s="11" t="s">
        <v>415</v>
      </c>
      <c r="B66" s="7" t="s">
        <v>416</v>
      </c>
      <c r="C66" s="8">
        <v>1</v>
      </c>
      <c r="D66" s="9">
        <v>89.99</v>
      </c>
      <c r="E66" s="8" t="s">
        <v>417</v>
      </c>
      <c r="F66" s="7" t="s">
        <v>43</v>
      </c>
      <c r="G66" s="11" t="s">
        <v>393</v>
      </c>
      <c r="H66" s="7" t="s">
        <v>50</v>
      </c>
      <c r="I66" s="7" t="s">
        <v>99</v>
      </c>
      <c r="J66" s="7" t="s">
        <v>52</v>
      </c>
      <c r="K66" s="7" t="s">
        <v>121</v>
      </c>
      <c r="L66" s="12" t="str">
        <f>HYPERLINK("http://slimages.macys.com/is/image/MCY/16175299 ")</f>
        <v xml:space="preserve">http://slimages.macys.com/is/image/MCY/16175299 </v>
      </c>
      <c r="M66" s="13"/>
    </row>
    <row r="67" spans="1:13" ht="60" x14ac:dyDescent="0.25">
      <c r="A67" s="11" t="s">
        <v>415</v>
      </c>
      <c r="B67" s="7" t="s">
        <v>416</v>
      </c>
      <c r="C67" s="8">
        <v>1</v>
      </c>
      <c r="D67" s="9">
        <v>89.99</v>
      </c>
      <c r="E67" s="8" t="s">
        <v>417</v>
      </c>
      <c r="F67" s="7" t="s">
        <v>43</v>
      </c>
      <c r="G67" s="11" t="s">
        <v>393</v>
      </c>
      <c r="H67" s="7" t="s">
        <v>50</v>
      </c>
      <c r="I67" s="7" t="s">
        <v>99</v>
      </c>
      <c r="J67" s="7" t="s">
        <v>52</v>
      </c>
      <c r="K67" s="7" t="s">
        <v>121</v>
      </c>
      <c r="L67" s="12" t="str">
        <f>HYPERLINK("http://slimages.macys.com/is/image/MCY/16175299 ")</f>
        <v xml:space="preserve">http://slimages.macys.com/is/image/MCY/16175299 </v>
      </c>
      <c r="M67" s="13"/>
    </row>
    <row r="68" spans="1:13" ht="60" x14ac:dyDescent="0.25">
      <c r="A68" s="11" t="s">
        <v>468</v>
      </c>
      <c r="B68" s="7" t="s">
        <v>469</v>
      </c>
      <c r="C68" s="8">
        <v>1</v>
      </c>
      <c r="D68" s="9">
        <v>79.989999999999995</v>
      </c>
      <c r="E68" s="8" t="s">
        <v>470</v>
      </c>
      <c r="F68" s="7" t="s">
        <v>217</v>
      </c>
      <c r="G68" s="11" t="s">
        <v>393</v>
      </c>
      <c r="H68" s="7" t="s">
        <v>50</v>
      </c>
      <c r="I68" s="7" t="s">
        <v>99</v>
      </c>
      <c r="J68" s="7" t="s">
        <v>52</v>
      </c>
      <c r="K68" s="7" t="s">
        <v>471</v>
      </c>
      <c r="L68" s="12" t="str">
        <f>HYPERLINK("http://slimages.macys.com/is/image/MCY/16175307 ")</f>
        <v xml:space="preserve">http://slimages.macys.com/is/image/MCY/16175307 </v>
      </c>
      <c r="M68" s="13"/>
    </row>
    <row r="69" spans="1:13" ht="60" x14ac:dyDescent="0.25">
      <c r="A69" s="11" t="s">
        <v>899</v>
      </c>
      <c r="B69" s="7" t="s">
        <v>900</v>
      </c>
      <c r="C69" s="8">
        <v>4</v>
      </c>
      <c r="D69" s="9">
        <v>39.99</v>
      </c>
      <c r="E69" s="8">
        <v>10009071600</v>
      </c>
      <c r="F69" s="7" t="s">
        <v>217</v>
      </c>
      <c r="G69" s="11"/>
      <c r="H69" s="7" t="s">
        <v>297</v>
      </c>
      <c r="I69" s="7" t="s">
        <v>901</v>
      </c>
      <c r="J69" s="7" t="s">
        <v>52</v>
      </c>
      <c r="K69" s="7"/>
      <c r="L69" s="12" t="str">
        <f>HYPERLINK("http://slimages.macys.com/is/image/MCY/15858688 ")</f>
        <v xml:space="preserve">http://slimages.macys.com/is/image/MCY/15858688 </v>
      </c>
      <c r="M69" s="13"/>
    </row>
    <row r="70" spans="1:13" ht="60" x14ac:dyDescent="0.25">
      <c r="A70" s="11" t="s">
        <v>294</v>
      </c>
      <c r="B70" s="7" t="s">
        <v>295</v>
      </c>
      <c r="C70" s="8">
        <v>1</v>
      </c>
      <c r="D70" s="9">
        <v>89.99</v>
      </c>
      <c r="E70" s="8" t="s">
        <v>296</v>
      </c>
      <c r="F70" s="7" t="s">
        <v>43</v>
      </c>
      <c r="G70" s="11"/>
      <c r="H70" s="7" t="s">
        <v>297</v>
      </c>
      <c r="I70" s="7" t="s">
        <v>298</v>
      </c>
      <c r="J70" s="7" t="s">
        <v>52</v>
      </c>
      <c r="K70" s="7"/>
      <c r="L70" s="12" t="str">
        <f>HYPERLINK("http://slimages.macys.com/is/image/MCY/9936546 ")</f>
        <v xml:space="preserve">http://slimages.macys.com/is/image/MCY/9936546 </v>
      </c>
      <c r="M70" s="13"/>
    </row>
    <row r="71" spans="1:13" ht="60" x14ac:dyDescent="0.25">
      <c r="A71" s="11" t="s">
        <v>803</v>
      </c>
      <c r="B71" s="7" t="s">
        <v>804</v>
      </c>
      <c r="C71" s="8">
        <v>1</v>
      </c>
      <c r="D71" s="9">
        <v>59.99</v>
      </c>
      <c r="E71" s="8">
        <v>10004897500</v>
      </c>
      <c r="F71" s="7" t="s">
        <v>108</v>
      </c>
      <c r="G71" s="11"/>
      <c r="H71" s="7" t="s">
        <v>297</v>
      </c>
      <c r="I71" s="7" t="s">
        <v>298</v>
      </c>
      <c r="J71" s="7" t="s">
        <v>52</v>
      </c>
      <c r="K71" s="7"/>
      <c r="L71" s="12" t="str">
        <f>HYPERLINK("http://slimages.macys.com/is/image/MCY/14823286 ")</f>
        <v xml:space="preserve">http://slimages.macys.com/is/image/MCY/14823286 </v>
      </c>
      <c r="M71" s="13"/>
    </row>
    <row r="72" spans="1:13" ht="60" x14ac:dyDescent="0.25">
      <c r="A72" s="11" t="s">
        <v>803</v>
      </c>
      <c r="B72" s="7" t="s">
        <v>804</v>
      </c>
      <c r="C72" s="8">
        <v>2</v>
      </c>
      <c r="D72" s="9">
        <v>59.99</v>
      </c>
      <c r="E72" s="8">
        <v>10004897500</v>
      </c>
      <c r="F72" s="7" t="s">
        <v>108</v>
      </c>
      <c r="G72" s="11"/>
      <c r="H72" s="7" t="s">
        <v>297</v>
      </c>
      <c r="I72" s="7" t="s">
        <v>298</v>
      </c>
      <c r="J72" s="7" t="s">
        <v>52</v>
      </c>
      <c r="K72" s="7"/>
      <c r="L72" s="12" t="str">
        <f>HYPERLINK("http://slimages.macys.com/is/image/MCY/14823286 ")</f>
        <v xml:space="preserve">http://slimages.macys.com/is/image/MCY/14823286 </v>
      </c>
      <c r="M72" s="13"/>
    </row>
    <row r="73" spans="1:13" ht="60" x14ac:dyDescent="0.25">
      <c r="A73" s="11" t="s">
        <v>803</v>
      </c>
      <c r="B73" s="7" t="s">
        <v>804</v>
      </c>
      <c r="C73" s="8">
        <v>2</v>
      </c>
      <c r="D73" s="9">
        <v>59.99</v>
      </c>
      <c r="E73" s="8">
        <v>10004897500</v>
      </c>
      <c r="F73" s="7" t="s">
        <v>108</v>
      </c>
      <c r="G73" s="11"/>
      <c r="H73" s="7" t="s">
        <v>297</v>
      </c>
      <c r="I73" s="7" t="s">
        <v>298</v>
      </c>
      <c r="J73" s="7" t="s">
        <v>52</v>
      </c>
      <c r="K73" s="7"/>
      <c r="L73" s="12" t="str">
        <f>HYPERLINK("http://slimages.macys.com/is/image/MCY/14823286 ")</f>
        <v xml:space="preserve">http://slimages.macys.com/is/image/MCY/14823286 </v>
      </c>
      <c r="M73" s="13"/>
    </row>
    <row r="74" spans="1:13" ht="60" x14ac:dyDescent="0.25">
      <c r="A74" s="11" t="s">
        <v>808</v>
      </c>
      <c r="B74" s="7" t="s">
        <v>809</v>
      </c>
      <c r="C74" s="8">
        <v>2</v>
      </c>
      <c r="D74" s="9">
        <v>59.99</v>
      </c>
      <c r="E74" s="8">
        <v>10004897500</v>
      </c>
      <c r="F74" s="7" t="s">
        <v>87</v>
      </c>
      <c r="G74" s="11"/>
      <c r="H74" s="7" t="s">
        <v>297</v>
      </c>
      <c r="I74" s="7" t="s">
        <v>298</v>
      </c>
      <c r="J74" s="7" t="s">
        <v>52</v>
      </c>
      <c r="K74" s="7"/>
      <c r="L74" s="12" t="str">
        <f>HYPERLINK("http://slimages.macys.com/is/image/MCY/14823286 ")</f>
        <v xml:space="preserve">http://slimages.macys.com/is/image/MCY/14823286 </v>
      </c>
      <c r="M74" s="13"/>
    </row>
    <row r="75" spans="1:13" ht="72" x14ac:dyDescent="0.25">
      <c r="A75" s="11" t="s">
        <v>444</v>
      </c>
      <c r="B75" s="7" t="s">
        <v>445</v>
      </c>
      <c r="C75" s="8">
        <v>1</v>
      </c>
      <c r="D75" s="9">
        <v>99.99</v>
      </c>
      <c r="E75" s="8" t="s">
        <v>446</v>
      </c>
      <c r="F75" s="7" t="s">
        <v>108</v>
      </c>
      <c r="G75" s="11" t="s">
        <v>447</v>
      </c>
      <c r="H75" s="7" t="s">
        <v>297</v>
      </c>
      <c r="I75" s="7" t="s">
        <v>448</v>
      </c>
      <c r="J75" s="7" t="s">
        <v>52</v>
      </c>
      <c r="K75" s="7" t="s">
        <v>449</v>
      </c>
      <c r="L75" s="12" t="str">
        <f>HYPERLINK("http://slimages.macys.com/is/image/MCY/14731378 ")</f>
        <v xml:space="preserve">http://slimages.macys.com/is/image/MCY/14731378 </v>
      </c>
      <c r="M75" s="13"/>
    </row>
    <row r="76" spans="1:13" ht="60" x14ac:dyDescent="0.25">
      <c r="A76" s="11" t="s">
        <v>1250</v>
      </c>
      <c r="B76" s="7" t="s">
        <v>1251</v>
      </c>
      <c r="C76" s="8">
        <v>1</v>
      </c>
      <c r="D76" s="9">
        <v>39.99</v>
      </c>
      <c r="E76" s="8" t="s">
        <v>1252</v>
      </c>
      <c r="F76" s="7" t="s">
        <v>190</v>
      </c>
      <c r="G76" s="11"/>
      <c r="H76" s="7" t="s">
        <v>297</v>
      </c>
      <c r="I76" s="7" t="s">
        <v>448</v>
      </c>
      <c r="J76" s="7" t="s">
        <v>52</v>
      </c>
      <c r="K76" s="7" t="s">
        <v>59</v>
      </c>
      <c r="L76" s="12" t="str">
        <f>HYPERLINK("http://slimages.macys.com/is/image/MCY/14722999 ")</f>
        <v xml:space="preserve">http://slimages.macys.com/is/image/MCY/14722999 </v>
      </c>
      <c r="M76" s="13"/>
    </row>
    <row r="77" spans="1:13" ht="60" x14ac:dyDescent="0.25">
      <c r="A77" s="11" t="s">
        <v>338</v>
      </c>
      <c r="B77" s="7" t="s">
        <v>339</v>
      </c>
      <c r="C77" s="8">
        <v>1</v>
      </c>
      <c r="D77" s="9">
        <v>99.99</v>
      </c>
      <c r="E77" s="8" t="s">
        <v>340</v>
      </c>
      <c r="F77" s="7" t="s">
        <v>49</v>
      </c>
      <c r="G77" s="11"/>
      <c r="H77" s="7" t="s">
        <v>308</v>
      </c>
      <c r="I77" s="7" t="s">
        <v>309</v>
      </c>
      <c r="J77" s="7" t="s">
        <v>52</v>
      </c>
      <c r="K77" s="7" t="s">
        <v>229</v>
      </c>
      <c r="L77" s="12" t="str">
        <f>HYPERLINK("http://slimages.macys.com/is/image/MCY/8456177 ")</f>
        <v xml:space="preserve">http://slimages.macys.com/is/image/MCY/8456177 </v>
      </c>
      <c r="M77" s="13"/>
    </row>
    <row r="78" spans="1:13" ht="60" x14ac:dyDescent="0.25">
      <c r="A78" s="11" t="s">
        <v>1264</v>
      </c>
      <c r="B78" s="7" t="s">
        <v>1265</v>
      </c>
      <c r="C78" s="8">
        <v>1</v>
      </c>
      <c r="D78" s="9">
        <v>39.99</v>
      </c>
      <c r="E78" s="8" t="s">
        <v>1266</v>
      </c>
      <c r="F78" s="7" t="s">
        <v>49</v>
      </c>
      <c r="G78" s="11"/>
      <c r="H78" s="7" t="s">
        <v>308</v>
      </c>
      <c r="I78" s="7" t="s">
        <v>309</v>
      </c>
      <c r="J78" s="7" t="s">
        <v>52</v>
      </c>
      <c r="K78" s="7"/>
      <c r="L78" s="12" t="str">
        <f>HYPERLINK("http://slimages.macys.com/is/image/MCY/8456177 ")</f>
        <v xml:space="preserve">http://slimages.macys.com/is/image/MCY/8456177 </v>
      </c>
      <c r="M78" s="13"/>
    </row>
    <row r="79" spans="1:13" ht="60" x14ac:dyDescent="0.25">
      <c r="A79" s="11" t="s">
        <v>304</v>
      </c>
      <c r="B79" s="7" t="s">
        <v>305</v>
      </c>
      <c r="C79" s="8">
        <v>1</v>
      </c>
      <c r="D79" s="9">
        <v>99.99</v>
      </c>
      <c r="E79" s="8" t="s">
        <v>306</v>
      </c>
      <c r="F79" s="7" t="s">
        <v>307</v>
      </c>
      <c r="G79" s="11"/>
      <c r="H79" s="7" t="s">
        <v>308</v>
      </c>
      <c r="I79" s="7" t="s">
        <v>309</v>
      </c>
      <c r="J79" s="7" t="s">
        <v>52</v>
      </c>
      <c r="K79" s="7" t="s">
        <v>229</v>
      </c>
      <c r="L79" s="12" t="str">
        <f>HYPERLINK("http://slimages.macys.com/is/image/MCY/8433239 ")</f>
        <v xml:space="preserve">http://slimages.macys.com/is/image/MCY/8433239 </v>
      </c>
      <c r="M79" s="13"/>
    </row>
    <row r="80" spans="1:13" ht="60" x14ac:dyDescent="0.25">
      <c r="A80" s="11" t="s">
        <v>1310</v>
      </c>
      <c r="B80" s="7" t="s">
        <v>1311</v>
      </c>
      <c r="C80" s="8">
        <v>1</v>
      </c>
      <c r="D80" s="9">
        <v>19.989999999999998</v>
      </c>
      <c r="E80" s="8" t="s">
        <v>1312</v>
      </c>
      <c r="F80" s="7" t="s">
        <v>732</v>
      </c>
      <c r="G80" s="11" t="s">
        <v>884</v>
      </c>
      <c r="H80" s="7" t="s">
        <v>931</v>
      </c>
      <c r="I80" s="7" t="s">
        <v>1313</v>
      </c>
      <c r="J80" s="7" t="s">
        <v>52</v>
      </c>
      <c r="K80" s="7" t="s">
        <v>516</v>
      </c>
      <c r="L80" s="12" t="str">
        <f>HYPERLINK("http://slimages.macys.com/is/image/MCY/8665727 ")</f>
        <v xml:space="preserve">http://slimages.macys.com/is/image/MCY/8665727 </v>
      </c>
      <c r="M80" s="13"/>
    </row>
    <row r="81" spans="1:13" ht="60" x14ac:dyDescent="0.25">
      <c r="A81" s="11" t="s">
        <v>639</v>
      </c>
      <c r="B81" s="7" t="s">
        <v>640</v>
      </c>
      <c r="C81" s="8">
        <v>1</v>
      </c>
      <c r="D81" s="9">
        <v>41.99</v>
      </c>
      <c r="E81" s="8" t="s">
        <v>641</v>
      </c>
      <c r="F81" s="7" t="s">
        <v>642</v>
      </c>
      <c r="G81" s="11"/>
      <c r="H81" s="7" t="s">
        <v>125</v>
      </c>
      <c r="I81" s="7" t="s">
        <v>643</v>
      </c>
      <c r="J81" s="7" t="s">
        <v>52</v>
      </c>
      <c r="K81" s="7" t="s">
        <v>644</v>
      </c>
      <c r="L81" s="12" t="str">
        <f>HYPERLINK("http://slimages.macys.com/is/image/MCY/15895766 ")</f>
        <v xml:space="preserve">http://slimages.macys.com/is/image/MCY/15895766 </v>
      </c>
      <c r="M81" s="13"/>
    </row>
    <row r="82" spans="1:13" ht="60" x14ac:dyDescent="0.25">
      <c r="A82" s="11" t="s">
        <v>1198</v>
      </c>
      <c r="B82" s="7" t="s">
        <v>1199</v>
      </c>
      <c r="C82" s="8">
        <v>1</v>
      </c>
      <c r="D82" s="9">
        <v>13.99</v>
      </c>
      <c r="E82" s="8" t="s">
        <v>1200</v>
      </c>
      <c r="F82" s="7" t="s">
        <v>108</v>
      </c>
      <c r="G82" s="11"/>
      <c r="H82" s="7" t="s">
        <v>125</v>
      </c>
      <c r="I82" s="7" t="s">
        <v>773</v>
      </c>
      <c r="J82" s="7" t="s">
        <v>52</v>
      </c>
      <c r="K82" s="7"/>
      <c r="L82" s="12" t="str">
        <f>HYPERLINK("http://slimages.macys.com/is/image/MCY/8757225 ")</f>
        <v xml:space="preserve">http://slimages.macys.com/is/image/MCY/8757225 </v>
      </c>
      <c r="M82" s="13"/>
    </row>
    <row r="83" spans="1:13" ht="60" x14ac:dyDescent="0.25">
      <c r="A83" s="11" t="s">
        <v>1195</v>
      </c>
      <c r="B83" s="7" t="s">
        <v>1196</v>
      </c>
      <c r="C83" s="8">
        <v>2</v>
      </c>
      <c r="D83" s="9">
        <v>13.99</v>
      </c>
      <c r="E83" s="8" t="s">
        <v>1197</v>
      </c>
      <c r="F83" s="7" t="s">
        <v>500</v>
      </c>
      <c r="G83" s="11" t="s">
        <v>1140</v>
      </c>
      <c r="H83" s="7" t="s">
        <v>125</v>
      </c>
      <c r="I83" s="7" t="s">
        <v>773</v>
      </c>
      <c r="J83" s="7" t="s">
        <v>52</v>
      </c>
      <c r="K83" s="7"/>
      <c r="L83" s="12" t="str">
        <f>HYPERLINK("http://slimages.macys.com/is/image/MCY/8757319 ")</f>
        <v xml:space="preserve">http://slimages.macys.com/is/image/MCY/8757319 </v>
      </c>
      <c r="M83" s="13"/>
    </row>
    <row r="84" spans="1:13" ht="60" x14ac:dyDescent="0.25">
      <c r="A84" s="11" t="s">
        <v>1270</v>
      </c>
      <c r="B84" s="7" t="s">
        <v>1271</v>
      </c>
      <c r="C84" s="8">
        <v>2</v>
      </c>
      <c r="D84" s="9">
        <v>11.99</v>
      </c>
      <c r="E84" s="8" t="s">
        <v>1272</v>
      </c>
      <c r="F84" s="7" t="s">
        <v>557</v>
      </c>
      <c r="G84" s="11"/>
      <c r="H84" s="7" t="s">
        <v>125</v>
      </c>
      <c r="I84" s="7" t="s">
        <v>773</v>
      </c>
      <c r="J84" s="7" t="s">
        <v>52</v>
      </c>
      <c r="K84" s="7"/>
      <c r="L84" s="12" t="str">
        <f>HYPERLINK("http://slimages.macys.com/is/image/MCY/8757395 ")</f>
        <v xml:space="preserve">http://slimages.macys.com/is/image/MCY/8757395 </v>
      </c>
      <c r="M84" s="13"/>
    </row>
    <row r="85" spans="1:13" ht="60" x14ac:dyDescent="0.25">
      <c r="A85" s="11" t="s">
        <v>1267</v>
      </c>
      <c r="B85" s="7" t="s">
        <v>1268</v>
      </c>
      <c r="C85" s="8">
        <v>2</v>
      </c>
      <c r="D85" s="9">
        <v>11.99</v>
      </c>
      <c r="E85" s="8" t="s">
        <v>1269</v>
      </c>
      <c r="F85" s="7" t="s">
        <v>43</v>
      </c>
      <c r="G85" s="11"/>
      <c r="H85" s="7" t="s">
        <v>125</v>
      </c>
      <c r="I85" s="7" t="s">
        <v>773</v>
      </c>
      <c r="J85" s="7" t="s">
        <v>52</v>
      </c>
      <c r="K85" s="7"/>
      <c r="L85" s="12" t="str">
        <f>HYPERLINK("http://slimages.macys.com/is/image/MCY/8757395 ")</f>
        <v xml:space="preserve">http://slimages.macys.com/is/image/MCY/8757395 </v>
      </c>
      <c r="M85" s="13"/>
    </row>
    <row r="86" spans="1:13" ht="60" x14ac:dyDescent="0.25">
      <c r="A86" s="11" t="s">
        <v>1102</v>
      </c>
      <c r="B86" s="7" t="s">
        <v>1103</v>
      </c>
      <c r="C86" s="8">
        <v>2</v>
      </c>
      <c r="D86" s="9">
        <v>18.989999999999998</v>
      </c>
      <c r="E86" s="8" t="s">
        <v>1104</v>
      </c>
      <c r="F86" s="7" t="s">
        <v>55</v>
      </c>
      <c r="G86" s="11"/>
      <c r="H86" s="7" t="s">
        <v>125</v>
      </c>
      <c r="I86" s="7" t="s">
        <v>773</v>
      </c>
      <c r="J86" s="7" t="s">
        <v>52</v>
      </c>
      <c r="K86" s="7"/>
      <c r="L86" s="12" t="str">
        <f>HYPERLINK("http://slimages.macys.com/is/image/MCY/8757507 ")</f>
        <v xml:space="preserve">http://slimages.macys.com/is/image/MCY/8757507 </v>
      </c>
      <c r="M86" s="13"/>
    </row>
    <row r="87" spans="1:13" ht="60" x14ac:dyDescent="0.25">
      <c r="A87" s="11" t="s">
        <v>329</v>
      </c>
      <c r="B87" s="7" t="s">
        <v>330</v>
      </c>
      <c r="C87" s="8">
        <v>1</v>
      </c>
      <c r="D87" s="9">
        <v>94.99</v>
      </c>
      <c r="E87" s="8" t="s">
        <v>331</v>
      </c>
      <c r="F87" s="7" t="s">
        <v>332</v>
      </c>
      <c r="G87" s="11"/>
      <c r="H87" s="7" t="s">
        <v>88</v>
      </c>
      <c r="I87" s="7" t="s">
        <v>333</v>
      </c>
      <c r="J87" s="7" t="s">
        <v>52</v>
      </c>
      <c r="K87" s="7" t="s">
        <v>334</v>
      </c>
      <c r="L87" s="12" t="str">
        <f>HYPERLINK("http://slimages.macys.com/is/image/MCY/10143520 ")</f>
        <v xml:space="preserve">http://slimages.macys.com/is/image/MCY/10143520 </v>
      </c>
      <c r="M87" s="13"/>
    </row>
    <row r="88" spans="1:13" ht="60" x14ac:dyDescent="0.25">
      <c r="A88" s="11" t="s">
        <v>138</v>
      </c>
      <c r="B88" s="7" t="s">
        <v>139</v>
      </c>
      <c r="C88" s="8">
        <v>1</v>
      </c>
      <c r="D88" s="9">
        <v>129.99</v>
      </c>
      <c r="E88" s="8" t="s">
        <v>140</v>
      </c>
      <c r="F88" s="7" t="s">
        <v>43</v>
      </c>
      <c r="G88" s="11"/>
      <c r="H88" s="7" t="s">
        <v>98</v>
      </c>
      <c r="I88" s="7" t="s">
        <v>141</v>
      </c>
      <c r="J88" s="7" t="s">
        <v>52</v>
      </c>
      <c r="K88" s="7" t="s">
        <v>142</v>
      </c>
      <c r="L88" s="12" t="str">
        <f>HYPERLINK("http://slimages.macys.com/is/image/MCY/3663823 ")</f>
        <v xml:space="preserve">http://slimages.macys.com/is/image/MCY/3663823 </v>
      </c>
      <c r="M88" s="13"/>
    </row>
    <row r="89" spans="1:13" ht="72" x14ac:dyDescent="0.25">
      <c r="A89" s="11" t="s">
        <v>787</v>
      </c>
      <c r="B89" s="7" t="s">
        <v>139</v>
      </c>
      <c r="C89" s="8">
        <v>1</v>
      </c>
      <c r="D89" s="9">
        <v>34.99</v>
      </c>
      <c r="E89" s="8" t="s">
        <v>788</v>
      </c>
      <c r="F89" s="7" t="s">
        <v>103</v>
      </c>
      <c r="G89" s="11"/>
      <c r="H89" s="7" t="s">
        <v>98</v>
      </c>
      <c r="I89" s="7" t="s">
        <v>141</v>
      </c>
      <c r="J89" s="7" t="s">
        <v>52</v>
      </c>
      <c r="K89" s="7" t="s">
        <v>789</v>
      </c>
      <c r="L89" s="12" t="str">
        <f>HYPERLINK("http://slimages.macys.com/is/image/MCY/8289253 ")</f>
        <v xml:space="preserve">http://slimages.macys.com/is/image/MCY/8289253 </v>
      </c>
      <c r="M89" s="13"/>
    </row>
    <row r="90" spans="1:13" ht="72" x14ac:dyDescent="0.25">
      <c r="A90" s="11" t="s">
        <v>1027</v>
      </c>
      <c r="B90" s="7" t="s">
        <v>139</v>
      </c>
      <c r="C90" s="8">
        <v>1</v>
      </c>
      <c r="D90" s="9">
        <v>24.99</v>
      </c>
      <c r="E90" s="8" t="s">
        <v>1028</v>
      </c>
      <c r="F90" s="7" t="s">
        <v>103</v>
      </c>
      <c r="G90" s="11" t="s">
        <v>1029</v>
      </c>
      <c r="H90" s="7" t="s">
        <v>98</v>
      </c>
      <c r="I90" s="7" t="s">
        <v>141</v>
      </c>
      <c r="J90" s="7" t="s">
        <v>52</v>
      </c>
      <c r="K90" s="7" t="s">
        <v>789</v>
      </c>
      <c r="L90" s="12" t="str">
        <f>HYPERLINK("http://slimages.macys.com/is/image/MCY/3663850 ")</f>
        <v xml:space="preserve">http://slimages.macys.com/is/image/MCY/3663850 </v>
      </c>
      <c r="M90" s="13"/>
    </row>
    <row r="91" spans="1:13" ht="60" x14ac:dyDescent="0.25">
      <c r="A91" s="11" t="s">
        <v>502</v>
      </c>
      <c r="B91" s="7" t="s">
        <v>503</v>
      </c>
      <c r="C91" s="8">
        <v>1</v>
      </c>
      <c r="D91" s="9">
        <v>66.989999999999995</v>
      </c>
      <c r="E91" s="8" t="s">
        <v>504</v>
      </c>
      <c r="F91" s="7" t="s">
        <v>108</v>
      </c>
      <c r="G91" s="11"/>
      <c r="H91" s="7" t="s">
        <v>88</v>
      </c>
      <c r="I91" s="7" t="s">
        <v>203</v>
      </c>
      <c r="J91" s="7" t="s">
        <v>52</v>
      </c>
      <c r="K91" s="7" t="s">
        <v>59</v>
      </c>
      <c r="L91" s="12" t="str">
        <f>HYPERLINK("http://slimages.macys.com/is/image/MCY/16503997 ")</f>
        <v xml:space="preserve">http://slimages.macys.com/is/image/MCY/16503997 </v>
      </c>
      <c r="M91" s="13"/>
    </row>
    <row r="92" spans="1:13" ht="60" x14ac:dyDescent="0.25">
      <c r="A92" s="11" t="s">
        <v>761</v>
      </c>
      <c r="B92" s="7" t="s">
        <v>762</v>
      </c>
      <c r="C92" s="8">
        <v>1</v>
      </c>
      <c r="D92" s="9">
        <v>39.99</v>
      </c>
      <c r="E92" s="8" t="s">
        <v>763</v>
      </c>
      <c r="F92" s="7" t="s">
        <v>327</v>
      </c>
      <c r="G92" s="11"/>
      <c r="H92" s="7" t="s">
        <v>50</v>
      </c>
      <c r="I92" s="7" t="s">
        <v>764</v>
      </c>
      <c r="J92" s="7" t="s">
        <v>52</v>
      </c>
      <c r="K92" s="7" t="s">
        <v>110</v>
      </c>
      <c r="L92" s="12" t="str">
        <f>HYPERLINK("http://slimages.macys.com/is/image/MCY/13511411 ")</f>
        <v xml:space="preserve">http://slimages.macys.com/is/image/MCY/13511411 </v>
      </c>
      <c r="M92" s="13"/>
    </row>
    <row r="93" spans="1:13" ht="60" x14ac:dyDescent="0.25">
      <c r="A93" s="11" t="s">
        <v>769</v>
      </c>
      <c r="B93" s="7" t="s">
        <v>770</v>
      </c>
      <c r="C93" s="8">
        <v>1</v>
      </c>
      <c r="D93" s="9">
        <v>35.99</v>
      </c>
      <c r="E93" s="8" t="s">
        <v>771</v>
      </c>
      <c r="F93" s="7" t="s">
        <v>772</v>
      </c>
      <c r="G93" s="11"/>
      <c r="H93" s="7" t="s">
        <v>125</v>
      </c>
      <c r="I93" s="7" t="s">
        <v>773</v>
      </c>
      <c r="J93" s="7" t="s">
        <v>52</v>
      </c>
      <c r="K93" s="7" t="s">
        <v>774</v>
      </c>
      <c r="L93" s="12" t="str">
        <f>HYPERLINK("http://slimages.macys.com/is/image/MCY/12703731 ")</f>
        <v xml:space="preserve">http://slimages.macys.com/is/image/MCY/12703731 </v>
      </c>
      <c r="M93" s="13"/>
    </row>
    <row r="94" spans="1:13" ht="60" x14ac:dyDescent="0.25">
      <c r="A94" s="11" t="s">
        <v>1218</v>
      </c>
      <c r="B94" s="7" t="s">
        <v>1219</v>
      </c>
      <c r="C94" s="8">
        <v>2</v>
      </c>
      <c r="D94" s="9">
        <v>12.99</v>
      </c>
      <c r="E94" s="8" t="s">
        <v>1220</v>
      </c>
      <c r="F94" s="7" t="s">
        <v>108</v>
      </c>
      <c r="G94" s="11"/>
      <c r="H94" s="7" t="s">
        <v>125</v>
      </c>
      <c r="I94" s="7" t="s">
        <v>773</v>
      </c>
      <c r="J94" s="7" t="s">
        <v>52</v>
      </c>
      <c r="K94" s="7"/>
      <c r="L94" s="12" t="str">
        <f>HYPERLINK("http://slimages.macys.com/is/image/MCY/8758046 ")</f>
        <v xml:space="preserve">http://slimages.macys.com/is/image/MCY/8758046 </v>
      </c>
      <c r="M94" s="13"/>
    </row>
    <row r="95" spans="1:13" ht="60" x14ac:dyDescent="0.25">
      <c r="A95" s="11" t="s">
        <v>1105</v>
      </c>
      <c r="B95" s="7" t="s">
        <v>1106</v>
      </c>
      <c r="C95" s="8">
        <v>4</v>
      </c>
      <c r="D95" s="9">
        <v>23.99</v>
      </c>
      <c r="E95" s="8" t="s">
        <v>1107</v>
      </c>
      <c r="F95" s="7" t="s">
        <v>120</v>
      </c>
      <c r="G95" s="11"/>
      <c r="H95" s="7" t="s">
        <v>125</v>
      </c>
      <c r="I95" s="7" t="s">
        <v>1108</v>
      </c>
      <c r="J95" s="7" t="s">
        <v>52</v>
      </c>
      <c r="K95" s="7" t="s">
        <v>1109</v>
      </c>
      <c r="L95" s="12" t="str">
        <f>HYPERLINK("http://slimages.macys.com/is/image/MCY/11461415 ")</f>
        <v xml:space="preserve">http://slimages.macys.com/is/image/MCY/11461415 </v>
      </c>
      <c r="M95" s="13"/>
    </row>
    <row r="96" spans="1:13" ht="36" x14ac:dyDescent="0.25">
      <c r="A96" s="11" t="s">
        <v>1394</v>
      </c>
      <c r="B96" s="7" t="s">
        <v>1395</v>
      </c>
      <c r="C96" s="8">
        <v>1</v>
      </c>
      <c r="D96" s="9">
        <v>78.11</v>
      </c>
      <c r="E96" s="8" t="s">
        <v>1396</v>
      </c>
      <c r="F96" s="7" t="s">
        <v>32</v>
      </c>
      <c r="G96" s="11" t="s">
        <v>269</v>
      </c>
      <c r="H96" s="7" t="s">
        <v>1397</v>
      </c>
      <c r="I96" s="7" t="s">
        <v>1398</v>
      </c>
      <c r="J96" s="7"/>
      <c r="K96" s="7"/>
      <c r="L96" s="12"/>
      <c r="M96" s="13"/>
    </row>
    <row r="97" spans="1:13" ht="60" x14ac:dyDescent="0.25">
      <c r="A97" s="11" t="s">
        <v>143</v>
      </c>
      <c r="B97" s="7" t="s">
        <v>144</v>
      </c>
      <c r="C97" s="8">
        <v>1</v>
      </c>
      <c r="D97" s="9">
        <v>250</v>
      </c>
      <c r="E97" s="8" t="s">
        <v>145</v>
      </c>
      <c r="F97" s="7" t="s">
        <v>43</v>
      </c>
      <c r="G97" s="11"/>
      <c r="H97" s="7" t="s">
        <v>98</v>
      </c>
      <c r="I97" s="7" t="s">
        <v>146</v>
      </c>
      <c r="J97" s="7" t="s">
        <v>52</v>
      </c>
      <c r="K97" s="7" t="s">
        <v>147</v>
      </c>
      <c r="L97" s="12" t="str">
        <f>HYPERLINK("http://slimages.macys.com/is/image/MCY/15614670 ")</f>
        <v xml:space="preserve">http://slimages.macys.com/is/image/MCY/15614670 </v>
      </c>
      <c r="M97" s="13"/>
    </row>
    <row r="98" spans="1:13" ht="60" x14ac:dyDescent="0.25">
      <c r="A98" s="11" t="s">
        <v>148</v>
      </c>
      <c r="B98" s="7" t="s">
        <v>144</v>
      </c>
      <c r="C98" s="8">
        <v>1</v>
      </c>
      <c r="D98" s="9">
        <v>250</v>
      </c>
      <c r="E98" s="8" t="s">
        <v>149</v>
      </c>
      <c r="F98" s="7" t="s">
        <v>93</v>
      </c>
      <c r="G98" s="11"/>
      <c r="H98" s="7" t="s">
        <v>98</v>
      </c>
      <c r="I98" s="7" t="s">
        <v>146</v>
      </c>
      <c r="J98" s="7" t="s">
        <v>52</v>
      </c>
      <c r="K98" s="7" t="s">
        <v>147</v>
      </c>
      <c r="L98" s="12" t="str">
        <f>HYPERLINK("http://slimages.macys.com/is/image/MCY/15614684 ")</f>
        <v xml:space="preserve">http://slimages.macys.com/is/image/MCY/15614684 </v>
      </c>
      <c r="M98" s="13"/>
    </row>
    <row r="99" spans="1:13" ht="60" x14ac:dyDescent="0.25">
      <c r="A99" s="11" t="s">
        <v>1073</v>
      </c>
      <c r="B99" s="7" t="s">
        <v>1074</v>
      </c>
      <c r="C99" s="8">
        <v>3</v>
      </c>
      <c r="D99" s="9">
        <v>24.99</v>
      </c>
      <c r="E99" s="8" t="s">
        <v>1075</v>
      </c>
      <c r="F99" s="7"/>
      <c r="G99" s="11" t="s">
        <v>185</v>
      </c>
      <c r="H99" s="7" t="s">
        <v>88</v>
      </c>
      <c r="I99" s="7" t="s">
        <v>264</v>
      </c>
      <c r="J99" s="7"/>
      <c r="K99" s="7"/>
      <c r="L99" s="12" t="str">
        <f t="shared" ref="L99:L105" si="0">HYPERLINK("http://slimages.macys.com/is/image/MCY/17893199 ")</f>
        <v xml:space="preserve">http://slimages.macys.com/is/image/MCY/17893199 </v>
      </c>
      <c r="M99" s="13"/>
    </row>
    <row r="100" spans="1:13" ht="60" x14ac:dyDescent="0.25">
      <c r="A100" s="11" t="s">
        <v>1070</v>
      </c>
      <c r="B100" s="7" t="s">
        <v>1071</v>
      </c>
      <c r="C100" s="8">
        <v>2</v>
      </c>
      <c r="D100" s="9">
        <v>24.99</v>
      </c>
      <c r="E100" s="8" t="s">
        <v>1072</v>
      </c>
      <c r="F100" s="7"/>
      <c r="G100" s="11" t="s">
        <v>185</v>
      </c>
      <c r="H100" s="7" t="s">
        <v>88</v>
      </c>
      <c r="I100" s="7" t="s">
        <v>264</v>
      </c>
      <c r="J100" s="7"/>
      <c r="K100" s="7"/>
      <c r="L100" s="12" t="str">
        <f t="shared" si="0"/>
        <v xml:space="preserve">http://slimages.macys.com/is/image/MCY/17893199 </v>
      </c>
      <c r="M100" s="13"/>
    </row>
    <row r="101" spans="1:13" ht="60" x14ac:dyDescent="0.25">
      <c r="A101" s="11" t="s">
        <v>1070</v>
      </c>
      <c r="B101" s="7" t="s">
        <v>1071</v>
      </c>
      <c r="C101" s="8">
        <v>1</v>
      </c>
      <c r="D101" s="9">
        <v>24.99</v>
      </c>
      <c r="E101" s="8" t="s">
        <v>1072</v>
      </c>
      <c r="F101" s="7"/>
      <c r="G101" s="11" t="s">
        <v>185</v>
      </c>
      <c r="H101" s="7" t="s">
        <v>88</v>
      </c>
      <c r="I101" s="7" t="s">
        <v>264</v>
      </c>
      <c r="J101" s="7"/>
      <c r="K101" s="7"/>
      <c r="L101" s="12" t="str">
        <f t="shared" si="0"/>
        <v xml:space="preserve">http://slimages.macys.com/is/image/MCY/17893199 </v>
      </c>
      <c r="M101" s="13"/>
    </row>
    <row r="102" spans="1:13" ht="60" x14ac:dyDescent="0.25">
      <c r="A102" s="11" t="s">
        <v>1067</v>
      </c>
      <c r="B102" s="7" t="s">
        <v>1068</v>
      </c>
      <c r="C102" s="8">
        <v>2</v>
      </c>
      <c r="D102" s="9">
        <v>24.99</v>
      </c>
      <c r="E102" s="8" t="s">
        <v>1069</v>
      </c>
      <c r="F102" s="7"/>
      <c r="G102" s="11" t="s">
        <v>185</v>
      </c>
      <c r="H102" s="7" t="s">
        <v>88</v>
      </c>
      <c r="I102" s="7" t="s">
        <v>264</v>
      </c>
      <c r="J102" s="7"/>
      <c r="K102" s="7"/>
      <c r="L102" s="12" t="str">
        <f t="shared" si="0"/>
        <v xml:space="preserve">http://slimages.macys.com/is/image/MCY/17893199 </v>
      </c>
      <c r="M102" s="13"/>
    </row>
    <row r="103" spans="1:13" ht="60" x14ac:dyDescent="0.25">
      <c r="A103" s="11" t="s">
        <v>1067</v>
      </c>
      <c r="B103" s="7" t="s">
        <v>1068</v>
      </c>
      <c r="C103" s="8">
        <v>1</v>
      </c>
      <c r="D103" s="9">
        <v>24.99</v>
      </c>
      <c r="E103" s="8" t="s">
        <v>1069</v>
      </c>
      <c r="F103" s="7"/>
      <c r="G103" s="11" t="s">
        <v>185</v>
      </c>
      <c r="H103" s="7" t="s">
        <v>88</v>
      </c>
      <c r="I103" s="7" t="s">
        <v>264</v>
      </c>
      <c r="J103" s="7"/>
      <c r="K103" s="7"/>
      <c r="L103" s="12" t="str">
        <f t="shared" si="0"/>
        <v xml:space="preserve">http://slimages.macys.com/is/image/MCY/17893199 </v>
      </c>
      <c r="M103" s="13"/>
    </row>
    <row r="104" spans="1:13" ht="60" x14ac:dyDescent="0.25">
      <c r="A104" s="11" t="s">
        <v>1067</v>
      </c>
      <c r="B104" s="7" t="s">
        <v>1068</v>
      </c>
      <c r="C104" s="8">
        <v>1</v>
      </c>
      <c r="D104" s="9">
        <v>24.99</v>
      </c>
      <c r="E104" s="8" t="s">
        <v>1069</v>
      </c>
      <c r="F104" s="7"/>
      <c r="G104" s="11" t="s">
        <v>185</v>
      </c>
      <c r="H104" s="7" t="s">
        <v>88</v>
      </c>
      <c r="I104" s="7" t="s">
        <v>264</v>
      </c>
      <c r="J104" s="7"/>
      <c r="K104" s="7"/>
      <c r="L104" s="12" t="str">
        <f t="shared" si="0"/>
        <v xml:space="preserve">http://slimages.macys.com/is/image/MCY/17893199 </v>
      </c>
      <c r="M104" s="13"/>
    </row>
    <row r="105" spans="1:13" ht="60" x14ac:dyDescent="0.25">
      <c r="A105" s="11" t="s">
        <v>1067</v>
      </c>
      <c r="B105" s="7" t="s">
        <v>1068</v>
      </c>
      <c r="C105" s="8">
        <v>1</v>
      </c>
      <c r="D105" s="9">
        <v>24.99</v>
      </c>
      <c r="E105" s="8" t="s">
        <v>1069</v>
      </c>
      <c r="F105" s="7"/>
      <c r="G105" s="11" t="s">
        <v>185</v>
      </c>
      <c r="H105" s="7" t="s">
        <v>88</v>
      </c>
      <c r="I105" s="7" t="s">
        <v>264</v>
      </c>
      <c r="J105" s="7"/>
      <c r="K105" s="7"/>
      <c r="L105" s="12" t="str">
        <f t="shared" si="0"/>
        <v xml:space="preserve">http://slimages.macys.com/is/image/MCY/17893199 </v>
      </c>
      <c r="M105" s="13"/>
    </row>
    <row r="106" spans="1:13" ht="60" x14ac:dyDescent="0.25">
      <c r="A106" s="11" t="s">
        <v>261</v>
      </c>
      <c r="B106" s="7" t="s">
        <v>262</v>
      </c>
      <c r="C106" s="8">
        <v>1</v>
      </c>
      <c r="D106" s="9">
        <v>120</v>
      </c>
      <c r="E106" s="8" t="s">
        <v>263</v>
      </c>
      <c r="F106" s="7"/>
      <c r="G106" s="11"/>
      <c r="H106" s="7" t="s">
        <v>88</v>
      </c>
      <c r="I106" s="7" t="s">
        <v>264</v>
      </c>
      <c r="J106" s="7"/>
      <c r="K106" s="7"/>
      <c r="L106" s="12" t="str">
        <f>HYPERLINK("http://slimages.macys.com/is/image/MCY/17588721 ")</f>
        <v xml:space="preserve">http://slimages.macys.com/is/image/MCY/17588721 </v>
      </c>
      <c r="M106" s="13"/>
    </row>
    <row r="107" spans="1:13" ht="60" x14ac:dyDescent="0.25">
      <c r="A107" s="11" t="s">
        <v>1291</v>
      </c>
      <c r="B107" s="7" t="s">
        <v>1292</v>
      </c>
      <c r="C107" s="8">
        <v>1</v>
      </c>
      <c r="D107" s="9">
        <v>14.99</v>
      </c>
      <c r="E107" s="8" t="s">
        <v>1293</v>
      </c>
      <c r="F107" s="7"/>
      <c r="G107" s="11"/>
      <c r="H107" s="7" t="s">
        <v>88</v>
      </c>
      <c r="I107" s="7" t="s">
        <v>264</v>
      </c>
      <c r="J107" s="7"/>
      <c r="K107" s="7"/>
      <c r="L107" s="12" t="str">
        <f>HYPERLINK("http://slimages.macys.com/is/image/MCY/17682957 ")</f>
        <v xml:space="preserve">http://slimages.macys.com/is/image/MCY/17682957 </v>
      </c>
      <c r="M107" s="13"/>
    </row>
    <row r="108" spans="1:13" ht="60" x14ac:dyDescent="0.25">
      <c r="A108" s="11" t="s">
        <v>1294</v>
      </c>
      <c r="B108" s="7" t="s">
        <v>1295</v>
      </c>
      <c r="C108" s="8">
        <v>1</v>
      </c>
      <c r="D108" s="9">
        <v>14.99</v>
      </c>
      <c r="E108" s="8" t="s">
        <v>1296</v>
      </c>
      <c r="F108" s="7"/>
      <c r="G108" s="11"/>
      <c r="H108" s="7" t="s">
        <v>88</v>
      </c>
      <c r="I108" s="7" t="s">
        <v>264</v>
      </c>
      <c r="J108" s="7"/>
      <c r="K108" s="7"/>
      <c r="L108" s="12" t="str">
        <f>HYPERLINK("http://slimages.macys.com/is/image/MCY/17718768 ")</f>
        <v xml:space="preserve">http://slimages.macys.com/is/image/MCY/17718768 </v>
      </c>
      <c r="M108" s="13"/>
    </row>
    <row r="109" spans="1:13" ht="60" x14ac:dyDescent="0.25">
      <c r="A109" s="11" t="s">
        <v>1357</v>
      </c>
      <c r="B109" s="7" t="s">
        <v>1358</v>
      </c>
      <c r="C109" s="8">
        <v>3</v>
      </c>
      <c r="D109" s="9">
        <v>3.99</v>
      </c>
      <c r="E109" s="8" t="s">
        <v>1359</v>
      </c>
      <c r="F109" s="7" t="s">
        <v>108</v>
      </c>
      <c r="G109" s="11" t="s">
        <v>797</v>
      </c>
      <c r="H109" s="7" t="s">
        <v>720</v>
      </c>
      <c r="I109" s="7" t="s">
        <v>1360</v>
      </c>
      <c r="J109" s="7"/>
      <c r="K109" s="7"/>
      <c r="L109" s="12" t="str">
        <f>HYPERLINK("http://slimages.macys.com/is/image/MCY/18145997 ")</f>
        <v xml:space="preserve">http://slimages.macys.com/is/image/MCY/18145997 </v>
      </c>
      <c r="M109" s="13"/>
    </row>
    <row r="110" spans="1:13" ht="60" x14ac:dyDescent="0.25">
      <c r="A110" s="11" t="s">
        <v>1384</v>
      </c>
      <c r="B110" s="7" t="s">
        <v>1385</v>
      </c>
      <c r="C110" s="8">
        <v>1</v>
      </c>
      <c r="D110" s="9">
        <v>2.99</v>
      </c>
      <c r="E110" s="8" t="s">
        <v>1386</v>
      </c>
      <c r="F110" s="7" t="s">
        <v>43</v>
      </c>
      <c r="G110" s="11" t="s">
        <v>1150</v>
      </c>
      <c r="H110" s="7" t="s">
        <v>720</v>
      </c>
      <c r="I110" s="7" t="s">
        <v>1360</v>
      </c>
      <c r="J110" s="7"/>
      <c r="K110" s="7"/>
      <c r="L110" s="12" t="str">
        <f>HYPERLINK("http://slimages.macys.com/is/image/MCY/18145997 ")</f>
        <v xml:space="preserve">http://slimages.macys.com/is/image/MCY/18145997 </v>
      </c>
      <c r="M110" s="13"/>
    </row>
    <row r="111" spans="1:13" ht="60" x14ac:dyDescent="0.25">
      <c r="A111" s="11" t="s">
        <v>878</v>
      </c>
      <c r="B111" s="7" t="s">
        <v>879</v>
      </c>
      <c r="C111" s="8">
        <v>1</v>
      </c>
      <c r="D111" s="9">
        <v>24.99</v>
      </c>
      <c r="E111" s="8" t="s">
        <v>880</v>
      </c>
      <c r="F111" s="7" t="s">
        <v>268</v>
      </c>
      <c r="G111" s="11"/>
      <c r="H111" s="7" t="s">
        <v>125</v>
      </c>
      <c r="I111" s="7" t="s">
        <v>773</v>
      </c>
      <c r="J111" s="7" t="s">
        <v>52</v>
      </c>
      <c r="K111" s="7" t="s">
        <v>121</v>
      </c>
      <c r="L111" s="12" t="str">
        <f>HYPERLINK("http://slimages.macys.com/is/image/MCY/8501242 ")</f>
        <v xml:space="preserve">http://slimages.macys.com/is/image/MCY/8501242 </v>
      </c>
      <c r="M111" s="13"/>
    </row>
    <row r="112" spans="1:13" ht="60" x14ac:dyDescent="0.25">
      <c r="A112" s="11" t="s">
        <v>765</v>
      </c>
      <c r="B112" s="7" t="s">
        <v>766</v>
      </c>
      <c r="C112" s="8">
        <v>1</v>
      </c>
      <c r="D112" s="9">
        <v>39.99</v>
      </c>
      <c r="E112" s="8" t="s">
        <v>767</v>
      </c>
      <c r="F112" s="7" t="s">
        <v>43</v>
      </c>
      <c r="G112" s="11"/>
      <c r="H112" s="7" t="s">
        <v>394</v>
      </c>
      <c r="I112" s="7" t="s">
        <v>768</v>
      </c>
      <c r="J112" s="7" t="s">
        <v>52</v>
      </c>
      <c r="K112" s="7"/>
      <c r="L112" s="12" t="str">
        <f>HYPERLINK("http://slimages.macys.com/is/image/MCY/8417120 ")</f>
        <v xml:space="preserve">http://slimages.macys.com/is/image/MCY/8417120 </v>
      </c>
      <c r="M112" s="13"/>
    </row>
    <row r="113" spans="1:13" ht="48" x14ac:dyDescent="0.25">
      <c r="A113" s="11" t="s">
        <v>1440</v>
      </c>
      <c r="B113" s="7" t="s">
        <v>1441</v>
      </c>
      <c r="C113" s="8">
        <v>1</v>
      </c>
      <c r="D113" s="9">
        <v>25.99</v>
      </c>
      <c r="E113" s="8" t="s">
        <v>1442</v>
      </c>
      <c r="F113" s="7" t="s">
        <v>43</v>
      </c>
      <c r="G113" s="11"/>
      <c r="H113" s="7" t="s">
        <v>125</v>
      </c>
      <c r="I113" s="7" t="s">
        <v>1006</v>
      </c>
      <c r="J113" s="7"/>
      <c r="K113" s="7"/>
      <c r="L113" s="12"/>
      <c r="M113" s="13"/>
    </row>
    <row r="114" spans="1:13" ht="60" x14ac:dyDescent="0.25">
      <c r="A114" s="11" t="s">
        <v>454</v>
      </c>
      <c r="B114" s="7" t="s">
        <v>455</v>
      </c>
      <c r="C114" s="8">
        <v>1</v>
      </c>
      <c r="D114" s="9">
        <v>62.99</v>
      </c>
      <c r="E114" s="8" t="s">
        <v>456</v>
      </c>
      <c r="F114" s="7"/>
      <c r="G114" s="11"/>
      <c r="H114" s="7" t="s">
        <v>88</v>
      </c>
      <c r="I114" s="7" t="s">
        <v>457</v>
      </c>
      <c r="J114" s="7" t="s">
        <v>52</v>
      </c>
      <c r="K114" s="7" t="s">
        <v>110</v>
      </c>
      <c r="L114" s="12" t="str">
        <f>HYPERLINK("http://slimages.macys.com/is/image/MCY/12142371 ")</f>
        <v xml:space="preserve">http://slimages.macys.com/is/image/MCY/12142371 </v>
      </c>
      <c r="M114" s="13"/>
    </row>
    <row r="115" spans="1:13" ht="60" x14ac:dyDescent="0.25">
      <c r="A115" s="11" t="s">
        <v>745</v>
      </c>
      <c r="B115" s="7" t="s">
        <v>746</v>
      </c>
      <c r="C115" s="8">
        <v>2</v>
      </c>
      <c r="D115" s="9">
        <v>46.99</v>
      </c>
      <c r="E115" s="8" t="s">
        <v>747</v>
      </c>
      <c r="F115" s="7" t="s">
        <v>93</v>
      </c>
      <c r="G115" s="11" t="s">
        <v>393</v>
      </c>
      <c r="H115" s="7" t="s">
        <v>125</v>
      </c>
      <c r="I115" s="7" t="s">
        <v>744</v>
      </c>
      <c r="J115" s="7" t="s">
        <v>162</v>
      </c>
      <c r="K115" s="7" t="s">
        <v>121</v>
      </c>
      <c r="L115" s="12" t="str">
        <f>HYPERLINK("http://slimages.macys.com/is/image/MCY/10208207 ")</f>
        <v xml:space="preserve">http://slimages.macys.com/is/image/MCY/10208207 </v>
      </c>
      <c r="M115" s="13"/>
    </row>
    <row r="116" spans="1:13" ht="60" x14ac:dyDescent="0.25">
      <c r="A116" s="11" t="s">
        <v>741</v>
      </c>
      <c r="B116" s="7" t="s">
        <v>742</v>
      </c>
      <c r="C116" s="8">
        <v>3</v>
      </c>
      <c r="D116" s="9">
        <v>46.99</v>
      </c>
      <c r="E116" s="8" t="s">
        <v>743</v>
      </c>
      <c r="F116" s="7" t="s">
        <v>55</v>
      </c>
      <c r="G116" s="11" t="s">
        <v>393</v>
      </c>
      <c r="H116" s="7" t="s">
        <v>125</v>
      </c>
      <c r="I116" s="7" t="s">
        <v>744</v>
      </c>
      <c r="J116" s="7" t="s">
        <v>162</v>
      </c>
      <c r="K116" s="7" t="s">
        <v>121</v>
      </c>
      <c r="L116" s="12" t="str">
        <f>HYPERLINK("http://slimages.macys.com/is/image/MCY/10208318 ")</f>
        <v xml:space="preserve">http://slimages.macys.com/is/image/MCY/10208318 </v>
      </c>
      <c r="M116" s="13"/>
    </row>
    <row r="117" spans="1:13" ht="60" x14ac:dyDescent="0.25">
      <c r="A117" s="11" t="s">
        <v>748</v>
      </c>
      <c r="B117" s="7" t="s">
        <v>749</v>
      </c>
      <c r="C117" s="8">
        <v>1</v>
      </c>
      <c r="D117" s="9">
        <v>46.99</v>
      </c>
      <c r="E117" s="8" t="s">
        <v>750</v>
      </c>
      <c r="F117" s="7" t="s">
        <v>751</v>
      </c>
      <c r="G117" s="11" t="s">
        <v>393</v>
      </c>
      <c r="H117" s="7" t="s">
        <v>125</v>
      </c>
      <c r="I117" s="7" t="s">
        <v>744</v>
      </c>
      <c r="J117" s="7" t="s">
        <v>162</v>
      </c>
      <c r="K117" s="7" t="s">
        <v>121</v>
      </c>
      <c r="L117" s="12" t="str">
        <f>HYPERLINK("http://slimages.macys.com/is/image/MCY/10208796 ")</f>
        <v xml:space="preserve">http://slimages.macys.com/is/image/MCY/10208796 </v>
      </c>
      <c r="M117" s="13"/>
    </row>
    <row r="118" spans="1:13" ht="60" x14ac:dyDescent="0.25">
      <c r="A118" s="11" t="s">
        <v>752</v>
      </c>
      <c r="B118" s="7" t="s">
        <v>753</v>
      </c>
      <c r="C118" s="8">
        <v>1</v>
      </c>
      <c r="D118" s="9">
        <v>46.99</v>
      </c>
      <c r="E118" s="8" t="s">
        <v>754</v>
      </c>
      <c r="F118" s="7" t="s">
        <v>190</v>
      </c>
      <c r="G118" s="11" t="s">
        <v>393</v>
      </c>
      <c r="H118" s="7" t="s">
        <v>125</v>
      </c>
      <c r="I118" s="7" t="s">
        <v>744</v>
      </c>
      <c r="J118" s="7" t="s">
        <v>162</v>
      </c>
      <c r="K118" s="7" t="s">
        <v>121</v>
      </c>
      <c r="L118" s="12" t="str">
        <f>HYPERLINK("http://slimages.macys.com/is/image/MCY/10208784 ")</f>
        <v xml:space="preserve">http://slimages.macys.com/is/image/MCY/10208784 </v>
      </c>
      <c r="M118" s="13"/>
    </row>
    <row r="119" spans="1:13" ht="84" x14ac:dyDescent="0.25">
      <c r="A119" s="11" t="s">
        <v>605</v>
      </c>
      <c r="B119" s="7" t="s">
        <v>606</v>
      </c>
      <c r="C119" s="8">
        <v>1</v>
      </c>
      <c r="D119" s="9">
        <v>39.99</v>
      </c>
      <c r="E119" s="8" t="s">
        <v>607</v>
      </c>
      <c r="F119" s="7" t="s">
        <v>87</v>
      </c>
      <c r="G119" s="11" t="s">
        <v>608</v>
      </c>
      <c r="H119" s="7" t="s">
        <v>98</v>
      </c>
      <c r="I119" s="7" t="s">
        <v>609</v>
      </c>
      <c r="J119" s="7" t="s">
        <v>52</v>
      </c>
      <c r="K119" s="7" t="s">
        <v>610</v>
      </c>
      <c r="L119" s="12" t="str">
        <f>HYPERLINK("http://slimages.macys.com/is/image/MCY/3296354 ")</f>
        <v xml:space="preserve">http://slimages.macys.com/is/image/MCY/3296354 </v>
      </c>
      <c r="M119" s="13"/>
    </row>
    <row r="120" spans="1:13" ht="60" x14ac:dyDescent="0.25">
      <c r="A120" s="11" t="s">
        <v>1173</v>
      </c>
      <c r="B120" s="7" t="s">
        <v>1174</v>
      </c>
      <c r="C120" s="8">
        <v>3</v>
      </c>
      <c r="D120" s="9">
        <v>20.99</v>
      </c>
      <c r="E120" s="8" t="s">
        <v>1175</v>
      </c>
      <c r="F120" s="7" t="s">
        <v>500</v>
      </c>
      <c r="G120" s="11"/>
      <c r="H120" s="7" t="s">
        <v>125</v>
      </c>
      <c r="I120" s="7" t="s">
        <v>578</v>
      </c>
      <c r="J120" s="7"/>
      <c r="K120" s="7"/>
      <c r="L120" s="12" t="str">
        <f>HYPERLINK("http://slimages.macys.com/is/image/MCY/18369836 ")</f>
        <v xml:space="preserve">http://slimages.macys.com/is/image/MCY/18369836 </v>
      </c>
      <c r="M120" s="13"/>
    </row>
    <row r="121" spans="1:13" ht="60" x14ac:dyDescent="0.25">
      <c r="A121" s="11" t="s">
        <v>1173</v>
      </c>
      <c r="B121" s="7" t="s">
        <v>1174</v>
      </c>
      <c r="C121" s="8">
        <v>1</v>
      </c>
      <c r="D121" s="9">
        <v>20.99</v>
      </c>
      <c r="E121" s="8" t="s">
        <v>1175</v>
      </c>
      <c r="F121" s="7" t="s">
        <v>500</v>
      </c>
      <c r="G121" s="11"/>
      <c r="H121" s="7" t="s">
        <v>125</v>
      </c>
      <c r="I121" s="7" t="s">
        <v>578</v>
      </c>
      <c r="J121" s="7"/>
      <c r="K121" s="7"/>
      <c r="L121" s="12" t="str">
        <f>HYPERLINK("http://slimages.macys.com/is/image/MCY/18369836 ")</f>
        <v xml:space="preserve">http://slimages.macys.com/is/image/MCY/18369836 </v>
      </c>
      <c r="M121" s="13"/>
    </row>
    <row r="122" spans="1:13" ht="60" x14ac:dyDescent="0.25">
      <c r="A122" s="11" t="s">
        <v>1176</v>
      </c>
      <c r="B122" s="7" t="s">
        <v>1177</v>
      </c>
      <c r="C122" s="8">
        <v>1</v>
      </c>
      <c r="D122" s="9">
        <v>20.99</v>
      </c>
      <c r="E122" s="8" t="s">
        <v>1178</v>
      </c>
      <c r="F122" s="7" t="s">
        <v>1179</v>
      </c>
      <c r="G122" s="11"/>
      <c r="H122" s="7" t="s">
        <v>125</v>
      </c>
      <c r="I122" s="7" t="s">
        <v>578</v>
      </c>
      <c r="J122" s="7"/>
      <c r="K122" s="7"/>
      <c r="L122" s="12" t="str">
        <f>HYPERLINK("http://slimages.macys.com/is/image/MCY/18369836 ")</f>
        <v xml:space="preserve">http://slimages.macys.com/is/image/MCY/18369836 </v>
      </c>
      <c r="M122" s="13"/>
    </row>
    <row r="123" spans="1:13" ht="48" x14ac:dyDescent="0.25">
      <c r="A123" s="11" t="s">
        <v>1434</v>
      </c>
      <c r="B123" s="7" t="s">
        <v>1435</v>
      </c>
      <c r="C123" s="8">
        <v>1</v>
      </c>
      <c r="D123" s="9">
        <v>29.99</v>
      </c>
      <c r="E123" s="8" t="s">
        <v>1436</v>
      </c>
      <c r="F123" s="7" t="s">
        <v>43</v>
      </c>
      <c r="G123" s="11"/>
      <c r="H123" s="7" t="s">
        <v>125</v>
      </c>
      <c r="I123" s="7" t="s">
        <v>578</v>
      </c>
      <c r="J123" s="7"/>
      <c r="K123" s="7"/>
      <c r="L123" s="12"/>
      <c r="M123" s="13"/>
    </row>
    <row r="124" spans="1:13" ht="48" x14ac:dyDescent="0.25">
      <c r="A124" s="11" t="s">
        <v>1408</v>
      </c>
      <c r="B124" s="7" t="s">
        <v>1409</v>
      </c>
      <c r="C124" s="8">
        <v>2</v>
      </c>
      <c r="D124" s="9">
        <v>56.99</v>
      </c>
      <c r="E124" s="8" t="s">
        <v>1410</v>
      </c>
      <c r="F124" s="7" t="s">
        <v>43</v>
      </c>
      <c r="G124" s="11"/>
      <c r="H124" s="7" t="s">
        <v>125</v>
      </c>
      <c r="I124" s="7" t="s">
        <v>578</v>
      </c>
      <c r="J124" s="7"/>
      <c r="K124" s="7"/>
      <c r="L124" s="12"/>
      <c r="M124" s="13"/>
    </row>
    <row r="125" spans="1:13" ht="60" x14ac:dyDescent="0.25">
      <c r="A125" s="11" t="s">
        <v>1215</v>
      </c>
      <c r="B125" s="7" t="s">
        <v>1216</v>
      </c>
      <c r="C125" s="8">
        <v>1</v>
      </c>
      <c r="D125" s="9">
        <v>22.99</v>
      </c>
      <c r="E125" s="8" t="s">
        <v>1217</v>
      </c>
      <c r="F125" s="7" t="s">
        <v>108</v>
      </c>
      <c r="G125" s="11" t="s">
        <v>377</v>
      </c>
      <c r="H125" s="7" t="s">
        <v>125</v>
      </c>
      <c r="I125" s="7" t="s">
        <v>578</v>
      </c>
      <c r="J125" s="7" t="s">
        <v>52</v>
      </c>
      <c r="K125" s="7" t="s">
        <v>110</v>
      </c>
      <c r="L125" s="12" t="str">
        <f>HYPERLINK("http://slimages.macys.com/is/image/MCY/12266265 ")</f>
        <v xml:space="preserve">http://slimages.macys.com/is/image/MCY/12266265 </v>
      </c>
      <c r="M125" s="13"/>
    </row>
    <row r="126" spans="1:13" ht="60" x14ac:dyDescent="0.25">
      <c r="A126" s="11" t="s">
        <v>1188</v>
      </c>
      <c r="B126" s="7" t="s">
        <v>1189</v>
      </c>
      <c r="C126" s="8">
        <v>1</v>
      </c>
      <c r="D126" s="9">
        <v>23.99</v>
      </c>
      <c r="E126" s="8" t="s">
        <v>1190</v>
      </c>
      <c r="F126" s="7" t="s">
        <v>732</v>
      </c>
      <c r="G126" s="11" t="s">
        <v>1191</v>
      </c>
      <c r="H126" s="7" t="s">
        <v>125</v>
      </c>
      <c r="I126" s="7" t="s">
        <v>578</v>
      </c>
      <c r="J126" s="7" t="s">
        <v>52</v>
      </c>
      <c r="K126" s="7" t="s">
        <v>110</v>
      </c>
      <c r="L126" s="12" t="str">
        <f>HYPERLINK("http://slimages.macys.com/is/image/MCY/11544184 ")</f>
        <v xml:space="preserve">http://slimages.macys.com/is/image/MCY/11544184 </v>
      </c>
      <c r="M126" s="13"/>
    </row>
    <row r="127" spans="1:13" ht="60" x14ac:dyDescent="0.25">
      <c r="A127" s="11" t="s">
        <v>575</v>
      </c>
      <c r="B127" s="7" t="s">
        <v>576</v>
      </c>
      <c r="C127" s="8">
        <v>1</v>
      </c>
      <c r="D127" s="9">
        <v>61.99</v>
      </c>
      <c r="E127" s="8" t="s">
        <v>577</v>
      </c>
      <c r="F127" s="7" t="s">
        <v>43</v>
      </c>
      <c r="G127" s="11"/>
      <c r="H127" s="7" t="s">
        <v>125</v>
      </c>
      <c r="I127" s="7" t="s">
        <v>578</v>
      </c>
      <c r="J127" s="7" t="s">
        <v>52</v>
      </c>
      <c r="K127" s="7" t="s">
        <v>579</v>
      </c>
      <c r="L127" s="12" t="str">
        <f>HYPERLINK("http://slimages.macys.com/is/image/MCY/11495282 ")</f>
        <v xml:space="preserve">http://slimages.macys.com/is/image/MCY/11495282 </v>
      </c>
      <c r="M127" s="13"/>
    </row>
    <row r="128" spans="1:13" ht="60" x14ac:dyDescent="0.25">
      <c r="A128" s="11" t="s">
        <v>820</v>
      </c>
      <c r="B128" s="7" t="s">
        <v>821</v>
      </c>
      <c r="C128" s="8">
        <v>1</v>
      </c>
      <c r="D128" s="9">
        <v>49.99</v>
      </c>
      <c r="E128" s="8" t="s">
        <v>822</v>
      </c>
      <c r="F128" s="7" t="s">
        <v>249</v>
      </c>
      <c r="G128" s="11"/>
      <c r="H128" s="7" t="s">
        <v>125</v>
      </c>
      <c r="I128" s="7" t="s">
        <v>578</v>
      </c>
      <c r="J128" s="7" t="s">
        <v>52</v>
      </c>
      <c r="K128" s="7" t="s">
        <v>121</v>
      </c>
      <c r="L128" s="12" t="str">
        <f>HYPERLINK("http://slimages.macys.com/is/image/MCY/11549411 ")</f>
        <v xml:space="preserve">http://slimages.macys.com/is/image/MCY/11549411 </v>
      </c>
      <c r="M128" s="13"/>
    </row>
    <row r="129" spans="1:13" ht="60" x14ac:dyDescent="0.25">
      <c r="A129" s="11" t="s">
        <v>678</v>
      </c>
      <c r="B129" s="7" t="s">
        <v>679</v>
      </c>
      <c r="C129" s="8">
        <v>1</v>
      </c>
      <c r="D129" s="9">
        <v>39.99</v>
      </c>
      <c r="E129" s="8" t="s">
        <v>680</v>
      </c>
      <c r="F129" s="7" t="s">
        <v>542</v>
      </c>
      <c r="G129" s="11" t="s">
        <v>681</v>
      </c>
      <c r="H129" s="7" t="s">
        <v>394</v>
      </c>
      <c r="I129" s="7" t="s">
        <v>682</v>
      </c>
      <c r="J129" s="7" t="s">
        <v>52</v>
      </c>
      <c r="K129" s="7" t="s">
        <v>683</v>
      </c>
      <c r="L129" s="12" t="str">
        <f>HYPERLINK("http://slimages.macys.com/is/image/MCY/12949233 ")</f>
        <v xml:space="preserve">http://slimages.macys.com/is/image/MCY/12949233 </v>
      </c>
      <c r="M129" s="13"/>
    </row>
    <row r="130" spans="1:13" ht="60" x14ac:dyDescent="0.25">
      <c r="A130" s="11" t="s">
        <v>486</v>
      </c>
      <c r="B130" s="7" t="s">
        <v>487</v>
      </c>
      <c r="C130" s="8">
        <v>2</v>
      </c>
      <c r="D130" s="9">
        <v>64.989999999999995</v>
      </c>
      <c r="E130" s="8" t="s">
        <v>488</v>
      </c>
      <c r="F130" s="7" t="s">
        <v>171</v>
      </c>
      <c r="G130" s="11" t="s">
        <v>432</v>
      </c>
      <c r="H130" s="7" t="s">
        <v>125</v>
      </c>
      <c r="I130" s="7" t="s">
        <v>489</v>
      </c>
      <c r="J130" s="7" t="s">
        <v>52</v>
      </c>
      <c r="K130" s="7" t="s">
        <v>490</v>
      </c>
      <c r="L130" s="12" t="str">
        <f>HYPERLINK("http://slimages.macys.com/is/image/MCY/15917142 ")</f>
        <v xml:space="preserve">http://slimages.macys.com/is/image/MCY/15917142 </v>
      </c>
      <c r="M130" s="13"/>
    </row>
    <row r="131" spans="1:13" ht="60" x14ac:dyDescent="0.25">
      <c r="A131" s="11" t="s">
        <v>1061</v>
      </c>
      <c r="B131" s="7" t="s">
        <v>1062</v>
      </c>
      <c r="C131" s="8">
        <v>2</v>
      </c>
      <c r="D131" s="9">
        <v>29.99</v>
      </c>
      <c r="E131" s="8" t="s">
        <v>1063</v>
      </c>
      <c r="F131" s="7" t="s">
        <v>171</v>
      </c>
      <c r="G131" s="11" t="s">
        <v>432</v>
      </c>
      <c r="H131" s="7" t="s">
        <v>125</v>
      </c>
      <c r="I131" s="7" t="s">
        <v>489</v>
      </c>
      <c r="J131" s="7" t="s">
        <v>52</v>
      </c>
      <c r="K131" s="7" t="s">
        <v>110</v>
      </c>
      <c r="L131" s="12" t="str">
        <f>HYPERLINK("http://slimages.macys.com/is/image/MCY/10799288 ")</f>
        <v xml:space="preserve">http://slimages.macys.com/is/image/MCY/10799288 </v>
      </c>
      <c r="M131" s="13"/>
    </row>
    <row r="132" spans="1:13" ht="60" x14ac:dyDescent="0.25">
      <c r="A132" s="11" t="s">
        <v>472</v>
      </c>
      <c r="B132" s="7" t="s">
        <v>473</v>
      </c>
      <c r="C132" s="8">
        <v>1</v>
      </c>
      <c r="D132" s="9">
        <v>44.99</v>
      </c>
      <c r="E132" s="8" t="s">
        <v>474</v>
      </c>
      <c r="F132" s="7" t="s">
        <v>43</v>
      </c>
      <c r="G132" s="11" t="s">
        <v>385</v>
      </c>
      <c r="H132" s="7" t="s">
        <v>70</v>
      </c>
      <c r="I132" s="7" t="s">
        <v>71</v>
      </c>
      <c r="J132" s="7" t="s">
        <v>52</v>
      </c>
      <c r="K132" s="7" t="s">
        <v>110</v>
      </c>
      <c r="L132" s="12" t="str">
        <f>HYPERLINK("http://slimages.macys.com/is/image/MCY/11798735 ")</f>
        <v xml:space="preserve">http://slimages.macys.com/is/image/MCY/11798735 </v>
      </c>
      <c r="M132" s="13"/>
    </row>
    <row r="133" spans="1:13" ht="60" x14ac:dyDescent="0.25">
      <c r="A133" s="11" t="s">
        <v>664</v>
      </c>
      <c r="B133" s="7" t="s">
        <v>665</v>
      </c>
      <c r="C133" s="8">
        <v>2</v>
      </c>
      <c r="D133" s="9">
        <v>44.99</v>
      </c>
      <c r="E133" s="8" t="s">
        <v>666</v>
      </c>
      <c r="F133" s="7" t="s">
        <v>43</v>
      </c>
      <c r="G133" s="11" t="s">
        <v>130</v>
      </c>
      <c r="H133" s="7" t="s">
        <v>70</v>
      </c>
      <c r="I133" s="7" t="s">
        <v>71</v>
      </c>
      <c r="J133" s="7" t="s">
        <v>52</v>
      </c>
      <c r="K133" s="7" t="s">
        <v>110</v>
      </c>
      <c r="L133" s="12" t="str">
        <f>HYPERLINK("http://slimages.macys.com/is/image/MCY/11798727 ")</f>
        <v xml:space="preserve">http://slimages.macys.com/is/image/MCY/11798727 </v>
      </c>
      <c r="M133" s="13"/>
    </row>
    <row r="134" spans="1:13" ht="96" x14ac:dyDescent="0.25">
      <c r="A134" s="11" t="s">
        <v>382</v>
      </c>
      <c r="B134" s="7" t="s">
        <v>383</v>
      </c>
      <c r="C134" s="8">
        <v>1</v>
      </c>
      <c r="D134" s="9">
        <v>85.99</v>
      </c>
      <c r="E134" s="8" t="s">
        <v>384</v>
      </c>
      <c r="F134" s="7" t="s">
        <v>43</v>
      </c>
      <c r="G134" s="11" t="s">
        <v>385</v>
      </c>
      <c r="H134" s="7" t="s">
        <v>70</v>
      </c>
      <c r="I134" s="7" t="s">
        <v>71</v>
      </c>
      <c r="J134" s="7" t="s">
        <v>52</v>
      </c>
      <c r="K134" s="7" t="s">
        <v>280</v>
      </c>
      <c r="L134" s="12" t="str">
        <f>HYPERLINK("http://slimages.macys.com/is/image/MCY/11798800 ")</f>
        <v xml:space="preserve">http://slimages.macys.com/is/image/MCY/11798800 </v>
      </c>
      <c r="M134" s="13"/>
    </row>
    <row r="135" spans="1:13" ht="96" x14ac:dyDescent="0.25">
      <c r="A135" s="11" t="s">
        <v>277</v>
      </c>
      <c r="B135" s="7" t="s">
        <v>278</v>
      </c>
      <c r="C135" s="8">
        <v>1</v>
      </c>
      <c r="D135" s="9">
        <v>110.99</v>
      </c>
      <c r="E135" s="8" t="s">
        <v>279</v>
      </c>
      <c r="F135" s="7" t="s">
        <v>43</v>
      </c>
      <c r="G135" s="11" t="s">
        <v>130</v>
      </c>
      <c r="H135" s="7" t="s">
        <v>70</v>
      </c>
      <c r="I135" s="7" t="s">
        <v>71</v>
      </c>
      <c r="J135" s="7" t="s">
        <v>52</v>
      </c>
      <c r="K135" s="7" t="s">
        <v>280</v>
      </c>
      <c r="L135" s="12" t="str">
        <f>HYPERLINK("http://slimages.macys.com/is/image/MCY/11798808 ")</f>
        <v xml:space="preserve">http://slimages.macys.com/is/image/MCY/11798808 </v>
      </c>
      <c r="M135" s="13"/>
    </row>
    <row r="136" spans="1:13" ht="144" x14ac:dyDescent="0.25">
      <c r="A136" s="11" t="s">
        <v>67</v>
      </c>
      <c r="B136" s="7" t="s">
        <v>68</v>
      </c>
      <c r="C136" s="8">
        <v>1</v>
      </c>
      <c r="D136" s="9">
        <v>312.99</v>
      </c>
      <c r="E136" s="8" t="s">
        <v>69</v>
      </c>
      <c r="F136" s="7" t="s">
        <v>43</v>
      </c>
      <c r="G136" s="11"/>
      <c r="H136" s="7" t="s">
        <v>70</v>
      </c>
      <c r="I136" s="7" t="s">
        <v>71</v>
      </c>
      <c r="J136" s="7" t="s">
        <v>52</v>
      </c>
      <c r="K136" s="7" t="s">
        <v>72</v>
      </c>
      <c r="L136" s="12" t="str">
        <f>HYPERLINK("http://slimages.macys.com/is/image/MCY/11798874 ")</f>
        <v xml:space="preserve">http://slimages.macys.com/is/image/MCY/11798874 </v>
      </c>
      <c r="M136" s="13"/>
    </row>
    <row r="137" spans="1:13" ht="108" x14ac:dyDescent="0.25">
      <c r="A137" s="11" t="s">
        <v>571</v>
      </c>
      <c r="B137" s="7" t="s">
        <v>572</v>
      </c>
      <c r="C137" s="8">
        <v>1</v>
      </c>
      <c r="D137" s="9">
        <v>42.99</v>
      </c>
      <c r="E137" s="8" t="s">
        <v>573</v>
      </c>
      <c r="F137" s="7" t="s">
        <v>43</v>
      </c>
      <c r="G137" s="11" t="s">
        <v>160</v>
      </c>
      <c r="H137" s="7" t="s">
        <v>70</v>
      </c>
      <c r="I137" s="7" t="s">
        <v>71</v>
      </c>
      <c r="J137" s="7" t="s">
        <v>132</v>
      </c>
      <c r="K137" s="7" t="s">
        <v>574</v>
      </c>
      <c r="L137" s="12" t="str">
        <f>HYPERLINK("http://slimages.macys.com/is/image/MCY/11798150 ")</f>
        <v xml:space="preserve">http://slimages.macys.com/is/image/MCY/11798150 </v>
      </c>
      <c r="M137" s="13"/>
    </row>
    <row r="138" spans="1:13" ht="60" x14ac:dyDescent="0.25">
      <c r="A138" s="11" t="s">
        <v>674</v>
      </c>
      <c r="B138" s="7" t="s">
        <v>675</v>
      </c>
      <c r="C138" s="8">
        <v>1</v>
      </c>
      <c r="D138" s="9">
        <v>53.99</v>
      </c>
      <c r="E138" s="8" t="s">
        <v>676</v>
      </c>
      <c r="F138" s="7" t="s">
        <v>43</v>
      </c>
      <c r="G138" s="11" t="s">
        <v>677</v>
      </c>
      <c r="H138" s="7" t="s">
        <v>70</v>
      </c>
      <c r="I138" s="7" t="s">
        <v>71</v>
      </c>
      <c r="J138" s="7" t="s">
        <v>52</v>
      </c>
      <c r="K138" s="7" t="s">
        <v>110</v>
      </c>
      <c r="L138" s="12" t="str">
        <f>HYPERLINK("http://slimages.macys.com/is/image/MCY/11798755 ")</f>
        <v xml:space="preserve">http://slimages.macys.com/is/image/MCY/11798755 </v>
      </c>
      <c r="M138" s="13"/>
    </row>
    <row r="139" spans="1:13" ht="72" x14ac:dyDescent="0.25">
      <c r="A139" s="11" t="s">
        <v>127</v>
      </c>
      <c r="B139" s="7" t="s">
        <v>128</v>
      </c>
      <c r="C139" s="8">
        <v>1</v>
      </c>
      <c r="D139" s="9">
        <v>149.99</v>
      </c>
      <c r="E139" s="8" t="s">
        <v>129</v>
      </c>
      <c r="F139" s="7" t="s">
        <v>43</v>
      </c>
      <c r="G139" s="11" t="s">
        <v>130</v>
      </c>
      <c r="H139" s="7" t="s">
        <v>70</v>
      </c>
      <c r="I139" s="7" t="s">
        <v>131</v>
      </c>
      <c r="J139" s="7" t="s">
        <v>132</v>
      </c>
      <c r="K139" s="7" t="s">
        <v>133</v>
      </c>
      <c r="L139" s="12" t="str">
        <f>HYPERLINK("http://slimages.macys.com/is/image/MCY/14328379 ")</f>
        <v xml:space="preserve">http://slimages.macys.com/is/image/MCY/14328379 </v>
      </c>
      <c r="M139" s="13"/>
    </row>
    <row r="140" spans="1:13" ht="60" x14ac:dyDescent="0.25">
      <c r="A140" s="11" t="s">
        <v>990</v>
      </c>
      <c r="B140" s="7" t="s">
        <v>991</v>
      </c>
      <c r="C140" s="8">
        <v>1</v>
      </c>
      <c r="D140" s="9">
        <v>29.99</v>
      </c>
      <c r="E140" s="8" t="s">
        <v>992</v>
      </c>
      <c r="F140" s="7" t="s">
        <v>93</v>
      </c>
      <c r="G140" s="11" t="s">
        <v>269</v>
      </c>
      <c r="H140" s="7" t="s">
        <v>88</v>
      </c>
      <c r="I140" s="7" t="s">
        <v>989</v>
      </c>
      <c r="J140" s="7" t="s">
        <v>52</v>
      </c>
      <c r="K140" s="7" t="s">
        <v>121</v>
      </c>
      <c r="L140" s="12" t="str">
        <f>HYPERLINK("http://slimages.macys.com/is/image/MCY/15945462 ")</f>
        <v xml:space="preserve">http://slimages.macys.com/is/image/MCY/15945462 </v>
      </c>
      <c r="M140" s="13"/>
    </row>
    <row r="141" spans="1:13" ht="60" x14ac:dyDescent="0.25">
      <c r="A141" s="11" t="s">
        <v>986</v>
      </c>
      <c r="B141" s="7" t="s">
        <v>987</v>
      </c>
      <c r="C141" s="8">
        <v>1</v>
      </c>
      <c r="D141" s="9">
        <v>29.99</v>
      </c>
      <c r="E141" s="8" t="s">
        <v>988</v>
      </c>
      <c r="F141" s="7" t="s">
        <v>108</v>
      </c>
      <c r="G141" s="11" t="s">
        <v>269</v>
      </c>
      <c r="H141" s="7" t="s">
        <v>88</v>
      </c>
      <c r="I141" s="7" t="s">
        <v>989</v>
      </c>
      <c r="J141" s="7" t="s">
        <v>52</v>
      </c>
      <c r="K141" s="7" t="s">
        <v>121</v>
      </c>
      <c r="L141" s="12" t="str">
        <f>HYPERLINK("http://slimages.macys.com/is/image/MCY/15945449 ")</f>
        <v xml:space="preserve">http://slimages.macys.com/is/image/MCY/15945449 </v>
      </c>
      <c r="M141" s="13"/>
    </row>
    <row r="142" spans="1:13" ht="60" x14ac:dyDescent="0.25">
      <c r="A142" s="11" t="s">
        <v>281</v>
      </c>
      <c r="B142" s="7" t="s">
        <v>282</v>
      </c>
      <c r="C142" s="8">
        <v>1</v>
      </c>
      <c r="D142" s="9">
        <v>102.99</v>
      </c>
      <c r="E142" s="8" t="s">
        <v>283</v>
      </c>
      <c r="F142" s="7" t="s">
        <v>63</v>
      </c>
      <c r="G142" s="11" t="s">
        <v>269</v>
      </c>
      <c r="H142" s="7" t="s">
        <v>125</v>
      </c>
      <c r="I142" s="7" t="s">
        <v>284</v>
      </c>
      <c r="J142" s="7" t="s">
        <v>52</v>
      </c>
      <c r="K142" s="7" t="s">
        <v>110</v>
      </c>
      <c r="L142" s="12" t="str">
        <f>HYPERLINK("http://slimages.macys.com/is/image/MCY/13418611 ")</f>
        <v xml:space="preserve">http://slimages.macys.com/is/image/MCY/13418611 </v>
      </c>
      <c r="M142" s="13"/>
    </row>
    <row r="143" spans="1:13" ht="60" x14ac:dyDescent="0.25">
      <c r="A143" s="11" t="s">
        <v>627</v>
      </c>
      <c r="B143" s="7" t="s">
        <v>628</v>
      </c>
      <c r="C143" s="8">
        <v>1</v>
      </c>
      <c r="D143" s="9">
        <v>41.99</v>
      </c>
      <c r="E143" s="8" t="s">
        <v>629</v>
      </c>
      <c r="F143" s="7" t="s">
        <v>49</v>
      </c>
      <c r="G143" s="11" t="s">
        <v>269</v>
      </c>
      <c r="H143" s="7" t="s">
        <v>125</v>
      </c>
      <c r="I143" s="7" t="s">
        <v>284</v>
      </c>
      <c r="J143" s="7" t="s">
        <v>52</v>
      </c>
      <c r="K143" s="7" t="s">
        <v>110</v>
      </c>
      <c r="L143" s="12" t="str">
        <f>HYPERLINK("http://slimages.macys.com/is/image/MCY/13427771 ")</f>
        <v xml:space="preserve">http://slimages.macys.com/is/image/MCY/13427771 </v>
      </c>
      <c r="M143" s="13"/>
    </row>
    <row r="144" spans="1:13" ht="60" x14ac:dyDescent="0.25">
      <c r="A144" s="11" t="s">
        <v>356</v>
      </c>
      <c r="B144" s="7" t="s">
        <v>357</v>
      </c>
      <c r="C144" s="8">
        <v>1</v>
      </c>
      <c r="D144" s="9">
        <v>58.99</v>
      </c>
      <c r="E144" s="8" t="s">
        <v>358</v>
      </c>
      <c r="F144" s="7" t="s">
        <v>49</v>
      </c>
      <c r="G144" s="11" t="s">
        <v>269</v>
      </c>
      <c r="H144" s="7" t="s">
        <v>125</v>
      </c>
      <c r="I144" s="7" t="s">
        <v>284</v>
      </c>
      <c r="J144" s="7" t="s">
        <v>52</v>
      </c>
      <c r="K144" s="7" t="s">
        <v>110</v>
      </c>
      <c r="L144" s="12" t="str">
        <f>HYPERLINK("http://slimages.macys.com/is/image/MCY/13432255 ")</f>
        <v xml:space="preserve">http://slimages.macys.com/is/image/MCY/13432255 </v>
      </c>
      <c r="M144" s="13"/>
    </row>
    <row r="145" spans="1:13" ht="60" x14ac:dyDescent="0.25">
      <c r="A145" s="11" t="s">
        <v>737</v>
      </c>
      <c r="B145" s="7" t="s">
        <v>738</v>
      </c>
      <c r="C145" s="8">
        <v>10</v>
      </c>
      <c r="D145" s="9">
        <v>49.99</v>
      </c>
      <c r="E145" s="8">
        <v>21453022</v>
      </c>
      <c r="F145" s="7"/>
      <c r="G145" s="11"/>
      <c r="H145" s="7" t="s">
        <v>88</v>
      </c>
      <c r="I145" s="7" t="s">
        <v>109</v>
      </c>
      <c r="J145" s="7" t="s">
        <v>52</v>
      </c>
      <c r="K145" s="7" t="s">
        <v>121</v>
      </c>
      <c r="L145" s="12" t="str">
        <f>HYPERLINK("http://slimages.macys.com/is/image/MCY/15345739 ")</f>
        <v xml:space="preserve">http://slimages.macys.com/is/image/MCY/15345739 </v>
      </c>
      <c r="M145" s="13"/>
    </row>
    <row r="146" spans="1:13" ht="60" x14ac:dyDescent="0.25">
      <c r="A146" s="11" t="s">
        <v>630</v>
      </c>
      <c r="B146" s="7" t="s">
        <v>631</v>
      </c>
      <c r="C146" s="8">
        <v>2</v>
      </c>
      <c r="D146" s="9">
        <v>49.99</v>
      </c>
      <c r="E146" s="8" t="s">
        <v>632</v>
      </c>
      <c r="F146" s="7"/>
      <c r="G146" s="11"/>
      <c r="H146" s="7" t="s">
        <v>88</v>
      </c>
      <c r="I146" s="7" t="s">
        <v>109</v>
      </c>
      <c r="J146" s="7" t="s">
        <v>52</v>
      </c>
      <c r="K146" s="7" t="s">
        <v>121</v>
      </c>
      <c r="L146" s="12" t="str">
        <f>HYPERLINK("http://slimages.macys.com/is/image/MCY/15345739 ")</f>
        <v xml:space="preserve">http://slimages.macys.com/is/image/MCY/15345739 </v>
      </c>
      <c r="M146" s="13"/>
    </row>
    <row r="147" spans="1:13" ht="60" x14ac:dyDescent="0.25">
      <c r="A147" s="11" t="s">
        <v>630</v>
      </c>
      <c r="B147" s="7" t="s">
        <v>631</v>
      </c>
      <c r="C147" s="8">
        <v>2</v>
      </c>
      <c r="D147" s="9">
        <v>49.99</v>
      </c>
      <c r="E147" s="8" t="s">
        <v>632</v>
      </c>
      <c r="F147" s="7"/>
      <c r="G147" s="11"/>
      <c r="H147" s="7" t="s">
        <v>88</v>
      </c>
      <c r="I147" s="7" t="s">
        <v>109</v>
      </c>
      <c r="J147" s="7" t="s">
        <v>52</v>
      </c>
      <c r="K147" s="7" t="s">
        <v>121</v>
      </c>
      <c r="L147" s="12" t="str">
        <f>HYPERLINK("http://slimages.macys.com/is/image/MCY/15345739 ")</f>
        <v xml:space="preserve">http://slimages.macys.com/is/image/MCY/15345739 </v>
      </c>
      <c r="M147" s="13"/>
    </row>
    <row r="148" spans="1:13" ht="60" x14ac:dyDescent="0.25">
      <c r="A148" s="11" t="s">
        <v>1381</v>
      </c>
      <c r="B148" s="7" t="s">
        <v>1382</v>
      </c>
      <c r="C148" s="8">
        <v>1</v>
      </c>
      <c r="D148" s="9">
        <v>4.99</v>
      </c>
      <c r="E148" s="8" t="s">
        <v>1383</v>
      </c>
      <c r="F148" s="7" t="s">
        <v>268</v>
      </c>
      <c r="G148" s="11" t="s">
        <v>1316</v>
      </c>
      <c r="H148" s="7" t="s">
        <v>720</v>
      </c>
      <c r="I148" s="7" t="s">
        <v>957</v>
      </c>
      <c r="J148" s="7" t="s">
        <v>52</v>
      </c>
      <c r="K148" s="7" t="s">
        <v>516</v>
      </c>
      <c r="L148" s="12" t="str">
        <f>HYPERLINK("http://slimages.macys.com/is/image/MCY/10156128 ")</f>
        <v xml:space="preserve">http://slimages.macys.com/is/image/MCY/10156128 </v>
      </c>
      <c r="M148" s="13"/>
    </row>
    <row r="149" spans="1:13" ht="60" x14ac:dyDescent="0.25">
      <c r="A149" s="11" t="s">
        <v>954</v>
      </c>
      <c r="B149" s="7" t="s">
        <v>955</v>
      </c>
      <c r="C149" s="8">
        <v>1</v>
      </c>
      <c r="D149" s="9">
        <v>24.99</v>
      </c>
      <c r="E149" s="8" t="s">
        <v>956</v>
      </c>
      <c r="F149" s="7" t="s">
        <v>500</v>
      </c>
      <c r="G149" s="11"/>
      <c r="H149" s="7" t="s">
        <v>427</v>
      </c>
      <c r="I149" s="7" t="s">
        <v>957</v>
      </c>
      <c r="J149" s="7" t="s">
        <v>52</v>
      </c>
      <c r="K149" s="7" t="s">
        <v>516</v>
      </c>
      <c r="L149" s="12" t="str">
        <f>HYPERLINK("http://slimages.macys.com/is/image/MCY/12060831 ")</f>
        <v xml:space="preserve">http://slimages.macys.com/is/image/MCY/12060831 </v>
      </c>
      <c r="M149" s="13"/>
    </row>
    <row r="150" spans="1:13" ht="72" x14ac:dyDescent="0.25">
      <c r="A150" s="11" t="s">
        <v>53</v>
      </c>
      <c r="B150" s="7" t="s">
        <v>54</v>
      </c>
      <c r="C150" s="8">
        <v>1</v>
      </c>
      <c r="D150" s="9">
        <v>279.99</v>
      </c>
      <c r="E150" s="8">
        <v>650756316001</v>
      </c>
      <c r="F150" s="7" t="s">
        <v>55</v>
      </c>
      <c r="G150" s="11"/>
      <c r="H150" s="7" t="s">
        <v>56</v>
      </c>
      <c r="I150" s="7" t="s">
        <v>57</v>
      </c>
      <c r="J150" s="7" t="s">
        <v>58</v>
      </c>
      <c r="K150" s="7" t="s">
        <v>59</v>
      </c>
      <c r="L150" s="12" t="str">
        <f>HYPERLINK("http://images.bloomingdales.com/is/image/BLM/10478584 ")</f>
        <v xml:space="preserve">http://images.bloomingdales.com/is/image/BLM/10478584 </v>
      </c>
      <c r="M150" s="13"/>
    </row>
    <row r="151" spans="1:13" ht="60" x14ac:dyDescent="0.25">
      <c r="A151" s="11" t="s">
        <v>29</v>
      </c>
      <c r="B151" s="7" t="s">
        <v>30</v>
      </c>
      <c r="C151" s="8">
        <v>3</v>
      </c>
      <c r="D151" s="9">
        <v>310</v>
      </c>
      <c r="E151" s="8" t="s">
        <v>31</v>
      </c>
      <c r="F151" s="7" t="s">
        <v>32</v>
      </c>
      <c r="G151" s="11"/>
      <c r="H151" s="7" t="s">
        <v>33</v>
      </c>
      <c r="I151" s="7" t="s">
        <v>34</v>
      </c>
      <c r="J151" s="7" t="s">
        <v>35</v>
      </c>
      <c r="K151" s="7" t="s">
        <v>36</v>
      </c>
      <c r="L151" s="12" t="str">
        <f>HYPERLINK("http://images.bloomingdales.com/is/image/BLM/9817513 ")</f>
        <v xml:space="preserve">http://images.bloomingdales.com/is/image/BLM/9817513 </v>
      </c>
      <c r="M151" s="13"/>
    </row>
    <row r="152" spans="1:13" ht="60" x14ac:dyDescent="0.25">
      <c r="A152" s="11" t="s">
        <v>81</v>
      </c>
      <c r="B152" s="7" t="s">
        <v>82</v>
      </c>
      <c r="C152" s="8">
        <v>2</v>
      </c>
      <c r="D152" s="9">
        <v>150</v>
      </c>
      <c r="E152" s="8" t="s">
        <v>83</v>
      </c>
      <c r="F152" s="7" t="s">
        <v>32</v>
      </c>
      <c r="G152" s="11"/>
      <c r="H152" s="7" t="s">
        <v>33</v>
      </c>
      <c r="I152" s="7" t="s">
        <v>34</v>
      </c>
      <c r="J152" s="7" t="s">
        <v>35</v>
      </c>
      <c r="K152" s="7" t="s">
        <v>36</v>
      </c>
      <c r="L152" s="12" t="str">
        <f>HYPERLINK("http://images.bloomingdales.com/is/image/BLM/9817518 ")</f>
        <v xml:space="preserve">http://images.bloomingdales.com/is/image/BLM/9817518 </v>
      </c>
      <c r="M152" s="13"/>
    </row>
    <row r="153" spans="1:13" ht="60" x14ac:dyDescent="0.25">
      <c r="A153" s="11" t="s">
        <v>623</v>
      </c>
      <c r="B153" s="7" t="s">
        <v>624</v>
      </c>
      <c r="C153" s="8">
        <v>1</v>
      </c>
      <c r="D153" s="9">
        <v>59.99</v>
      </c>
      <c r="E153" s="8">
        <v>81336</v>
      </c>
      <c r="F153" s="7" t="s">
        <v>625</v>
      </c>
      <c r="G153" s="11"/>
      <c r="H153" s="7" t="s">
        <v>88</v>
      </c>
      <c r="I153" s="7" t="s">
        <v>626</v>
      </c>
      <c r="J153" s="7" t="s">
        <v>52</v>
      </c>
      <c r="K153" s="7" t="s">
        <v>121</v>
      </c>
      <c r="L153" s="12" t="str">
        <f>HYPERLINK("http://slimages.macys.com/is/image/MCY/15670928 ")</f>
        <v xml:space="preserve">http://slimages.macys.com/is/image/MCY/15670928 </v>
      </c>
      <c r="M153" s="13"/>
    </row>
    <row r="154" spans="1:13" ht="48" x14ac:dyDescent="0.25">
      <c r="A154" s="11" t="s">
        <v>1449</v>
      </c>
      <c r="B154" s="7" t="s">
        <v>1450</v>
      </c>
      <c r="C154" s="8">
        <v>1</v>
      </c>
      <c r="D154" s="9">
        <v>16.989999999999998</v>
      </c>
      <c r="E154" s="8">
        <v>14873</v>
      </c>
      <c r="F154" s="7" t="s">
        <v>1451</v>
      </c>
      <c r="G154" s="11" t="s">
        <v>269</v>
      </c>
      <c r="H154" s="7" t="s">
        <v>125</v>
      </c>
      <c r="I154" s="7" t="s">
        <v>928</v>
      </c>
      <c r="J154" s="7"/>
      <c r="K154" s="7"/>
      <c r="L154" s="12"/>
      <c r="M154" s="13"/>
    </row>
    <row r="155" spans="1:13" ht="60" x14ac:dyDescent="0.25">
      <c r="A155" s="11" t="s">
        <v>925</v>
      </c>
      <c r="B155" s="7" t="s">
        <v>926</v>
      </c>
      <c r="C155" s="8">
        <v>1</v>
      </c>
      <c r="D155" s="9">
        <v>35.99</v>
      </c>
      <c r="E155" s="8" t="s">
        <v>927</v>
      </c>
      <c r="F155" s="7" t="s">
        <v>167</v>
      </c>
      <c r="G155" s="11"/>
      <c r="H155" s="7" t="s">
        <v>125</v>
      </c>
      <c r="I155" s="7" t="s">
        <v>928</v>
      </c>
      <c r="J155" s="7" t="s">
        <v>52</v>
      </c>
      <c r="K155" s="7" t="s">
        <v>110</v>
      </c>
      <c r="L155" s="12" t="str">
        <f>HYPERLINK("http://slimages.macys.com/is/image/MCY/12346983 ")</f>
        <v xml:space="preserve">http://slimages.macys.com/is/image/MCY/12346983 </v>
      </c>
      <c r="M155" s="13"/>
    </row>
    <row r="156" spans="1:13" ht="60" x14ac:dyDescent="0.25">
      <c r="A156" s="11" t="s">
        <v>1054</v>
      </c>
      <c r="B156" s="7" t="s">
        <v>1055</v>
      </c>
      <c r="C156" s="8">
        <v>1</v>
      </c>
      <c r="D156" s="9">
        <v>36</v>
      </c>
      <c r="E156" s="8">
        <v>4000000154</v>
      </c>
      <c r="F156" s="7" t="s">
        <v>313</v>
      </c>
      <c r="G156" s="11" t="s">
        <v>797</v>
      </c>
      <c r="H156" s="7" t="s">
        <v>720</v>
      </c>
      <c r="I156" s="7" t="s">
        <v>617</v>
      </c>
      <c r="J156" s="7"/>
      <c r="K156" s="7"/>
      <c r="L156" s="12" t="str">
        <f>HYPERLINK("http://slimages.macys.com/is/image/MCY/18951132 ")</f>
        <v xml:space="preserve">http://slimages.macys.com/is/image/MCY/18951132 </v>
      </c>
      <c r="M156" s="13"/>
    </row>
    <row r="157" spans="1:13" ht="60" x14ac:dyDescent="0.25">
      <c r="A157" s="11" t="s">
        <v>1056</v>
      </c>
      <c r="B157" s="7" t="s">
        <v>1055</v>
      </c>
      <c r="C157" s="8">
        <v>1</v>
      </c>
      <c r="D157" s="9">
        <v>36</v>
      </c>
      <c r="E157" s="8">
        <v>4000000169</v>
      </c>
      <c r="F157" s="7" t="s">
        <v>43</v>
      </c>
      <c r="G157" s="11" t="s">
        <v>797</v>
      </c>
      <c r="H157" s="7" t="s">
        <v>720</v>
      </c>
      <c r="I157" s="7" t="s">
        <v>617</v>
      </c>
      <c r="J157" s="7"/>
      <c r="K157" s="7"/>
      <c r="L157" s="12" t="str">
        <f>HYPERLINK("http://slimages.macys.com/is/image/MCY/18951132 ")</f>
        <v xml:space="preserve">http://slimages.macys.com/is/image/MCY/18951132 </v>
      </c>
      <c r="M157" s="13"/>
    </row>
    <row r="158" spans="1:13" ht="60" x14ac:dyDescent="0.25">
      <c r="A158" s="11" t="s">
        <v>182</v>
      </c>
      <c r="B158" s="7" t="s">
        <v>183</v>
      </c>
      <c r="C158" s="8">
        <v>1</v>
      </c>
      <c r="D158" s="9">
        <v>115</v>
      </c>
      <c r="E158" s="8" t="s">
        <v>184</v>
      </c>
      <c r="F158" s="7"/>
      <c r="G158" s="11" t="s">
        <v>185</v>
      </c>
      <c r="H158" s="7" t="s">
        <v>125</v>
      </c>
      <c r="I158" s="7" t="s">
        <v>186</v>
      </c>
      <c r="J158" s="7" t="s">
        <v>52</v>
      </c>
      <c r="K158" s="7" t="s">
        <v>121</v>
      </c>
      <c r="L158" s="12" t="str">
        <f>HYPERLINK("http://slimages.macys.com/is/image/MCY/10141693 ")</f>
        <v xml:space="preserve">http://slimages.macys.com/is/image/MCY/10141693 </v>
      </c>
      <c r="M158" s="13"/>
    </row>
    <row r="159" spans="1:13" ht="60" x14ac:dyDescent="0.25">
      <c r="A159" s="11" t="s">
        <v>465</v>
      </c>
      <c r="B159" s="7" t="s">
        <v>466</v>
      </c>
      <c r="C159" s="8">
        <v>2</v>
      </c>
      <c r="D159" s="9">
        <v>69.989999999999995</v>
      </c>
      <c r="E159" s="8" t="s">
        <v>467</v>
      </c>
      <c r="F159" s="7" t="s">
        <v>43</v>
      </c>
      <c r="G159" s="11"/>
      <c r="H159" s="7" t="s">
        <v>125</v>
      </c>
      <c r="I159" s="7" t="s">
        <v>226</v>
      </c>
      <c r="J159" s="7"/>
      <c r="K159" s="7"/>
      <c r="L159" s="12" t="str">
        <f>HYPERLINK("http://slimages.macys.com/is/image/MCY/18112100 ")</f>
        <v xml:space="preserve">http://slimages.macys.com/is/image/MCY/18112100 </v>
      </c>
      <c r="M159" s="13"/>
    </row>
    <row r="160" spans="1:13" ht="60" x14ac:dyDescent="0.25">
      <c r="A160" s="11" t="s">
        <v>465</v>
      </c>
      <c r="B160" s="7" t="s">
        <v>466</v>
      </c>
      <c r="C160" s="8">
        <v>1</v>
      </c>
      <c r="D160" s="9">
        <v>69.989999999999995</v>
      </c>
      <c r="E160" s="8" t="s">
        <v>467</v>
      </c>
      <c r="F160" s="7" t="s">
        <v>43</v>
      </c>
      <c r="G160" s="11"/>
      <c r="H160" s="7" t="s">
        <v>125</v>
      </c>
      <c r="I160" s="7" t="s">
        <v>226</v>
      </c>
      <c r="J160" s="7"/>
      <c r="K160" s="7"/>
      <c r="L160" s="12" t="str">
        <f>HYPERLINK("http://slimages.macys.com/is/image/MCY/18112100 ")</f>
        <v xml:space="preserve">http://slimages.macys.com/is/image/MCY/18112100 </v>
      </c>
      <c r="M160" s="13"/>
    </row>
    <row r="161" spans="1:13" ht="60" x14ac:dyDescent="0.25">
      <c r="A161" s="11" t="s">
        <v>1349</v>
      </c>
      <c r="B161" s="7" t="s">
        <v>1350</v>
      </c>
      <c r="C161" s="8">
        <v>6</v>
      </c>
      <c r="D161" s="9">
        <v>14.99</v>
      </c>
      <c r="E161" s="8" t="s">
        <v>1351</v>
      </c>
      <c r="F161" s="7" t="s">
        <v>171</v>
      </c>
      <c r="G161" s="11"/>
      <c r="H161" s="7" t="s">
        <v>1352</v>
      </c>
      <c r="I161" s="7" t="s">
        <v>1353</v>
      </c>
      <c r="J161" s="7" t="s">
        <v>52</v>
      </c>
      <c r="K161" s="7" t="s">
        <v>121</v>
      </c>
      <c r="L161" s="12" t="str">
        <f>HYPERLINK("http://slimages.macys.com/is/image/MCY/15007909 ")</f>
        <v xml:space="preserve">http://slimages.macys.com/is/image/MCY/15007909 </v>
      </c>
      <c r="M161" s="13"/>
    </row>
    <row r="162" spans="1:13" ht="60" x14ac:dyDescent="0.25">
      <c r="A162" s="11" t="s">
        <v>907</v>
      </c>
      <c r="B162" s="7" t="s">
        <v>908</v>
      </c>
      <c r="C162" s="8">
        <v>1</v>
      </c>
      <c r="D162" s="9">
        <v>49.99</v>
      </c>
      <c r="E162" s="8">
        <v>100071383</v>
      </c>
      <c r="F162" s="7" t="s">
        <v>217</v>
      </c>
      <c r="G162" s="11" t="s">
        <v>432</v>
      </c>
      <c r="H162" s="7" t="s">
        <v>909</v>
      </c>
      <c r="I162" s="7" t="s">
        <v>910</v>
      </c>
      <c r="J162" s="7" t="s">
        <v>52</v>
      </c>
      <c r="K162" s="7"/>
      <c r="L162" s="12" t="str">
        <f>HYPERLINK("http://slimages.macys.com/is/image/MCY/13838749 ")</f>
        <v xml:space="preserve">http://slimages.macys.com/is/image/MCY/13838749 </v>
      </c>
      <c r="M162" s="13"/>
    </row>
    <row r="163" spans="1:13" ht="60" x14ac:dyDescent="0.25">
      <c r="A163" s="11" t="s">
        <v>864</v>
      </c>
      <c r="B163" s="7" t="s">
        <v>865</v>
      </c>
      <c r="C163" s="8">
        <v>1</v>
      </c>
      <c r="D163" s="9">
        <v>39.99</v>
      </c>
      <c r="E163" s="8" t="s">
        <v>866</v>
      </c>
      <c r="F163" s="7" t="s">
        <v>120</v>
      </c>
      <c r="G163" s="11" t="s">
        <v>432</v>
      </c>
      <c r="H163" s="7" t="s">
        <v>125</v>
      </c>
      <c r="I163" s="7" t="s">
        <v>867</v>
      </c>
      <c r="J163" s="7" t="s">
        <v>162</v>
      </c>
      <c r="K163" s="7" t="s">
        <v>868</v>
      </c>
      <c r="L163" s="12" t="str">
        <f>HYPERLINK("http://slimages.macys.com/is/image/MCY/16368308 ")</f>
        <v xml:space="preserve">http://slimages.macys.com/is/image/MCY/16368308 </v>
      </c>
      <c r="M163" s="13"/>
    </row>
    <row r="164" spans="1:13" ht="60" x14ac:dyDescent="0.25">
      <c r="A164" s="11" t="s">
        <v>869</v>
      </c>
      <c r="B164" s="7" t="s">
        <v>870</v>
      </c>
      <c r="C164" s="8">
        <v>2</v>
      </c>
      <c r="D164" s="9">
        <v>39.99</v>
      </c>
      <c r="E164" s="8" t="s">
        <v>871</v>
      </c>
      <c r="F164" s="7" t="s">
        <v>249</v>
      </c>
      <c r="G164" s="11" t="s">
        <v>432</v>
      </c>
      <c r="H164" s="7" t="s">
        <v>125</v>
      </c>
      <c r="I164" s="7" t="s">
        <v>867</v>
      </c>
      <c r="J164" s="7" t="s">
        <v>162</v>
      </c>
      <c r="K164" s="7" t="s">
        <v>868</v>
      </c>
      <c r="L164" s="12" t="str">
        <f>HYPERLINK("http://slimages.macys.com/is/image/MCY/16368549 ")</f>
        <v xml:space="preserve">http://slimages.macys.com/is/image/MCY/16368549 </v>
      </c>
      <c r="M164" s="13"/>
    </row>
    <row r="165" spans="1:13" ht="60" x14ac:dyDescent="0.25">
      <c r="A165" s="11" t="s">
        <v>1374</v>
      </c>
      <c r="B165" s="7" t="s">
        <v>1375</v>
      </c>
      <c r="C165" s="8">
        <v>2</v>
      </c>
      <c r="D165" s="9">
        <v>7.99</v>
      </c>
      <c r="E165" s="8">
        <v>1006327300</v>
      </c>
      <c r="F165" s="7" t="s">
        <v>108</v>
      </c>
      <c r="G165" s="11" t="s">
        <v>1316</v>
      </c>
      <c r="H165" s="7" t="s">
        <v>931</v>
      </c>
      <c r="I165" s="7" t="s">
        <v>932</v>
      </c>
      <c r="J165" s="7" t="s">
        <v>52</v>
      </c>
      <c r="K165" s="7" t="s">
        <v>516</v>
      </c>
      <c r="L165" s="12" t="str">
        <f>HYPERLINK("http://slimages.macys.com/is/image/MCY/13893905 ")</f>
        <v xml:space="preserve">http://slimages.macys.com/is/image/MCY/13893905 </v>
      </c>
      <c r="M165" s="13"/>
    </row>
    <row r="166" spans="1:13" ht="60" x14ac:dyDescent="0.25">
      <c r="A166" s="11" t="s">
        <v>839</v>
      </c>
      <c r="B166" s="7" t="s">
        <v>840</v>
      </c>
      <c r="C166" s="8">
        <v>1</v>
      </c>
      <c r="D166" s="9">
        <v>79.989999999999995</v>
      </c>
      <c r="E166" s="8" t="s">
        <v>841</v>
      </c>
      <c r="F166" s="7" t="s">
        <v>63</v>
      </c>
      <c r="G166" s="11"/>
      <c r="H166" s="7" t="s">
        <v>64</v>
      </c>
      <c r="I166" s="7" t="s">
        <v>198</v>
      </c>
      <c r="J166" s="7" t="s">
        <v>52</v>
      </c>
      <c r="K166" s="7" t="s">
        <v>842</v>
      </c>
      <c r="L166" s="12" t="str">
        <f>HYPERLINK("http://slimages.macys.com/is/image/MCY/15618077 ")</f>
        <v xml:space="preserve">http://slimages.macys.com/is/image/MCY/15618077 </v>
      </c>
      <c r="M166" s="13"/>
    </row>
    <row r="167" spans="1:13" ht="60" x14ac:dyDescent="0.25">
      <c r="A167" s="11" t="s">
        <v>1354</v>
      </c>
      <c r="B167" s="7" t="s">
        <v>1355</v>
      </c>
      <c r="C167" s="8">
        <v>1</v>
      </c>
      <c r="D167" s="9">
        <v>12.99</v>
      </c>
      <c r="E167" s="8" t="s">
        <v>1356</v>
      </c>
      <c r="F167" s="7" t="s">
        <v>307</v>
      </c>
      <c r="G167" s="11" t="s">
        <v>1316</v>
      </c>
      <c r="H167" s="7" t="s">
        <v>931</v>
      </c>
      <c r="I167" s="7" t="s">
        <v>932</v>
      </c>
      <c r="J167" s="7" t="s">
        <v>52</v>
      </c>
      <c r="K167" s="7" t="s">
        <v>142</v>
      </c>
      <c r="L167" s="12" t="str">
        <f>HYPERLINK("http://slimages.macys.com/is/image/MCY/15098800 ")</f>
        <v xml:space="preserve">http://slimages.macys.com/is/image/MCY/15098800 </v>
      </c>
      <c r="M167" s="13"/>
    </row>
    <row r="168" spans="1:13" ht="72" x14ac:dyDescent="0.25">
      <c r="A168" s="11" t="s">
        <v>100</v>
      </c>
      <c r="B168" s="7" t="s">
        <v>101</v>
      </c>
      <c r="C168" s="8">
        <v>1</v>
      </c>
      <c r="D168" s="9">
        <v>249.99</v>
      </c>
      <c r="E168" s="8" t="s">
        <v>102</v>
      </c>
      <c r="F168" s="7" t="s">
        <v>103</v>
      </c>
      <c r="G168" s="11"/>
      <c r="H168" s="7" t="s">
        <v>64</v>
      </c>
      <c r="I168" s="7" t="s">
        <v>104</v>
      </c>
      <c r="J168" s="7" t="s">
        <v>52</v>
      </c>
      <c r="K168" s="7" t="s">
        <v>105</v>
      </c>
      <c r="L168" s="12" t="str">
        <f>HYPERLINK("http://slimages.macys.com/is/image/MCY/11283539 ")</f>
        <v xml:space="preserve">http://slimages.macys.com/is/image/MCY/11283539 </v>
      </c>
      <c r="M168" s="13"/>
    </row>
    <row r="169" spans="1:13" ht="60" x14ac:dyDescent="0.25">
      <c r="A169" s="11" t="s">
        <v>602</v>
      </c>
      <c r="B169" s="7" t="s">
        <v>603</v>
      </c>
      <c r="C169" s="8">
        <v>2</v>
      </c>
      <c r="D169" s="9">
        <v>89.99</v>
      </c>
      <c r="E169" s="8" t="s">
        <v>604</v>
      </c>
      <c r="F169" s="7" t="s">
        <v>542</v>
      </c>
      <c r="G169" s="11"/>
      <c r="H169" s="7" t="s">
        <v>64</v>
      </c>
      <c r="I169" s="7" t="s">
        <v>198</v>
      </c>
      <c r="J169" s="7"/>
      <c r="K169" s="7"/>
      <c r="L169" s="12" t="str">
        <f>HYPERLINK("http://slimages.macys.com/is/image/MCY/16833473 ")</f>
        <v xml:space="preserve">http://slimages.macys.com/is/image/MCY/16833473 </v>
      </c>
      <c r="M169" s="13"/>
    </row>
    <row r="170" spans="1:13" ht="60" x14ac:dyDescent="0.25">
      <c r="A170" s="11" t="s">
        <v>602</v>
      </c>
      <c r="B170" s="7" t="s">
        <v>603</v>
      </c>
      <c r="C170" s="8">
        <v>1</v>
      </c>
      <c r="D170" s="9">
        <v>89.99</v>
      </c>
      <c r="E170" s="8" t="s">
        <v>604</v>
      </c>
      <c r="F170" s="7" t="s">
        <v>542</v>
      </c>
      <c r="G170" s="11"/>
      <c r="H170" s="7" t="s">
        <v>64</v>
      </c>
      <c r="I170" s="7" t="s">
        <v>198</v>
      </c>
      <c r="J170" s="7"/>
      <c r="K170" s="7"/>
      <c r="L170" s="12" t="str">
        <f>HYPERLINK("http://slimages.macys.com/is/image/MCY/16833473 ")</f>
        <v xml:space="preserve">http://slimages.macys.com/is/image/MCY/16833473 </v>
      </c>
      <c r="M170" s="13"/>
    </row>
    <row r="171" spans="1:13" ht="60" x14ac:dyDescent="0.25">
      <c r="A171" s="11" t="s">
        <v>886</v>
      </c>
      <c r="B171" s="7" t="s">
        <v>887</v>
      </c>
      <c r="C171" s="8">
        <v>2</v>
      </c>
      <c r="D171" s="9">
        <v>79.989999999999995</v>
      </c>
      <c r="E171" s="8" t="s">
        <v>888</v>
      </c>
      <c r="F171" s="7" t="s">
        <v>542</v>
      </c>
      <c r="G171" s="11"/>
      <c r="H171" s="7" t="s">
        <v>64</v>
      </c>
      <c r="I171" s="7" t="s">
        <v>198</v>
      </c>
      <c r="J171" s="7"/>
      <c r="K171" s="7"/>
      <c r="L171" s="12" t="str">
        <f>HYPERLINK("http://slimages.macys.com/is/image/MCY/16688467 ")</f>
        <v xml:space="preserve">http://slimages.macys.com/is/image/MCY/16688467 </v>
      </c>
      <c r="M171" s="13"/>
    </row>
    <row r="172" spans="1:13" ht="60" x14ac:dyDescent="0.25">
      <c r="A172" s="11" t="s">
        <v>540</v>
      </c>
      <c r="B172" s="7" t="s">
        <v>541</v>
      </c>
      <c r="C172" s="8">
        <v>1</v>
      </c>
      <c r="D172" s="9">
        <v>79.989999999999995</v>
      </c>
      <c r="E172" s="8">
        <v>10008627900</v>
      </c>
      <c r="F172" s="7" t="s">
        <v>542</v>
      </c>
      <c r="G172" s="11" t="s">
        <v>393</v>
      </c>
      <c r="H172" s="7" t="s">
        <v>64</v>
      </c>
      <c r="I172" s="7" t="s">
        <v>198</v>
      </c>
      <c r="J172" s="7"/>
      <c r="K172" s="7"/>
      <c r="L172" s="12" t="str">
        <f>HYPERLINK("http://slimages.macys.com/is/image/MCY/16688475 ")</f>
        <v xml:space="preserve">http://slimages.macys.com/is/image/MCY/16688475 </v>
      </c>
      <c r="M172" s="13"/>
    </row>
    <row r="173" spans="1:13" ht="60" x14ac:dyDescent="0.25">
      <c r="A173" s="11" t="s">
        <v>974</v>
      </c>
      <c r="B173" s="7" t="s">
        <v>975</v>
      </c>
      <c r="C173" s="8">
        <v>1</v>
      </c>
      <c r="D173" s="9">
        <v>69.989999999999995</v>
      </c>
      <c r="E173" s="8" t="s">
        <v>976</v>
      </c>
      <c r="F173" s="7" t="s">
        <v>542</v>
      </c>
      <c r="G173" s="11"/>
      <c r="H173" s="7" t="s">
        <v>64</v>
      </c>
      <c r="I173" s="7" t="s">
        <v>198</v>
      </c>
      <c r="J173" s="7"/>
      <c r="K173" s="7"/>
      <c r="L173" s="12" t="str">
        <f>HYPERLINK("http://slimages.macys.com/is/image/MCY/16688467 ")</f>
        <v xml:space="preserve">http://slimages.macys.com/is/image/MCY/16688467 </v>
      </c>
      <c r="M173" s="13"/>
    </row>
    <row r="174" spans="1:13" ht="60" x14ac:dyDescent="0.25">
      <c r="A174" s="11" t="s">
        <v>974</v>
      </c>
      <c r="B174" s="7" t="s">
        <v>975</v>
      </c>
      <c r="C174" s="8">
        <v>1</v>
      </c>
      <c r="D174" s="9">
        <v>69.989999999999995</v>
      </c>
      <c r="E174" s="8" t="s">
        <v>976</v>
      </c>
      <c r="F174" s="7" t="s">
        <v>542</v>
      </c>
      <c r="G174" s="11"/>
      <c r="H174" s="7" t="s">
        <v>64</v>
      </c>
      <c r="I174" s="7" t="s">
        <v>198</v>
      </c>
      <c r="J174" s="7"/>
      <c r="K174" s="7"/>
      <c r="L174" s="12" t="str">
        <f>HYPERLINK("http://slimages.macys.com/is/image/MCY/16688467 ")</f>
        <v xml:space="preserve">http://slimages.macys.com/is/image/MCY/16688467 </v>
      </c>
      <c r="M174" s="13"/>
    </row>
    <row r="175" spans="1:13" ht="60" x14ac:dyDescent="0.25">
      <c r="A175" s="11" t="s">
        <v>479</v>
      </c>
      <c r="B175" s="7" t="s">
        <v>480</v>
      </c>
      <c r="C175" s="8">
        <v>1</v>
      </c>
      <c r="D175" s="9">
        <v>99.99</v>
      </c>
      <c r="E175" s="8">
        <v>10008237600</v>
      </c>
      <c r="F175" s="7" t="s">
        <v>93</v>
      </c>
      <c r="G175" s="11" t="s">
        <v>432</v>
      </c>
      <c r="H175" s="7" t="s">
        <v>64</v>
      </c>
      <c r="I175" s="7" t="s">
        <v>198</v>
      </c>
      <c r="J175" s="7"/>
      <c r="K175" s="7"/>
      <c r="L175" s="12" t="str">
        <f>HYPERLINK("http://slimages.macys.com/is/image/MCY/16688305 ")</f>
        <v xml:space="preserve">http://slimages.macys.com/is/image/MCY/16688305 </v>
      </c>
      <c r="M175" s="13"/>
    </row>
    <row r="176" spans="1:13" ht="60" x14ac:dyDescent="0.25">
      <c r="A176" s="11" t="s">
        <v>195</v>
      </c>
      <c r="B176" s="7" t="s">
        <v>196</v>
      </c>
      <c r="C176" s="8">
        <v>1</v>
      </c>
      <c r="D176" s="9">
        <v>199.99</v>
      </c>
      <c r="E176" s="8" t="s">
        <v>197</v>
      </c>
      <c r="F176" s="7" t="s">
        <v>93</v>
      </c>
      <c r="G176" s="11"/>
      <c r="H176" s="7" t="s">
        <v>64</v>
      </c>
      <c r="I176" s="7" t="s">
        <v>198</v>
      </c>
      <c r="J176" s="7"/>
      <c r="K176" s="7"/>
      <c r="L176" s="12" t="str">
        <f>HYPERLINK("http://slimages.macys.com/is/image/MCY/16688298 ")</f>
        <v xml:space="preserve">http://slimages.macys.com/is/image/MCY/16688298 </v>
      </c>
      <c r="M176" s="13"/>
    </row>
    <row r="177" spans="1:13" ht="60" x14ac:dyDescent="0.25">
      <c r="A177" s="11" t="s">
        <v>1155</v>
      </c>
      <c r="B177" s="7" t="s">
        <v>1156</v>
      </c>
      <c r="C177" s="8">
        <v>1</v>
      </c>
      <c r="D177" s="9">
        <v>39.99</v>
      </c>
      <c r="E177" s="8" t="s">
        <v>1157</v>
      </c>
      <c r="F177" s="7" t="s">
        <v>49</v>
      </c>
      <c r="G177" s="11"/>
      <c r="H177" s="7" t="s">
        <v>33</v>
      </c>
      <c r="I177" s="7" t="s">
        <v>198</v>
      </c>
      <c r="J177" s="7" t="s">
        <v>52</v>
      </c>
      <c r="K177" s="7" t="s">
        <v>59</v>
      </c>
      <c r="L177" s="12" t="str">
        <f>HYPERLINK("http://slimages.macys.com/is/image/MCY/3614592 ")</f>
        <v xml:space="preserve">http://slimages.macys.com/is/image/MCY/3614592 </v>
      </c>
      <c r="M177" s="13"/>
    </row>
    <row r="178" spans="1:13" ht="60" x14ac:dyDescent="0.25">
      <c r="A178" s="11" t="s">
        <v>929</v>
      </c>
      <c r="B178" s="7" t="s">
        <v>930</v>
      </c>
      <c r="C178" s="8">
        <v>1</v>
      </c>
      <c r="D178" s="9">
        <v>29.99</v>
      </c>
      <c r="E178" s="8">
        <v>1010314200</v>
      </c>
      <c r="F178" s="7" t="s">
        <v>332</v>
      </c>
      <c r="G178" s="11"/>
      <c r="H178" s="7" t="s">
        <v>931</v>
      </c>
      <c r="I178" s="7" t="s">
        <v>932</v>
      </c>
      <c r="J178" s="7"/>
      <c r="K178" s="7"/>
      <c r="L178" s="12" t="str">
        <f>HYPERLINK("http://slimages.macys.com/is/image/MCY/17707778 ")</f>
        <v xml:space="preserve">http://slimages.macys.com/is/image/MCY/17707778 </v>
      </c>
      <c r="M178" s="13"/>
    </row>
    <row r="179" spans="1:13" ht="60" x14ac:dyDescent="0.25">
      <c r="A179" s="11" t="s">
        <v>929</v>
      </c>
      <c r="B179" s="7" t="s">
        <v>930</v>
      </c>
      <c r="C179" s="8">
        <v>1</v>
      </c>
      <c r="D179" s="9">
        <v>29.99</v>
      </c>
      <c r="E179" s="8">
        <v>1010314200</v>
      </c>
      <c r="F179" s="7" t="s">
        <v>332</v>
      </c>
      <c r="G179" s="11"/>
      <c r="H179" s="7" t="s">
        <v>931</v>
      </c>
      <c r="I179" s="7" t="s">
        <v>932</v>
      </c>
      <c r="J179" s="7"/>
      <c r="K179" s="7"/>
      <c r="L179" s="12" t="str">
        <f>HYPERLINK("http://slimages.macys.com/is/image/MCY/17707778 ")</f>
        <v xml:space="preserve">http://slimages.macys.com/is/image/MCY/17707778 </v>
      </c>
      <c r="M179" s="13"/>
    </row>
    <row r="180" spans="1:13" ht="60" x14ac:dyDescent="0.25">
      <c r="A180" s="11" t="s">
        <v>1372</v>
      </c>
      <c r="B180" s="7" t="s">
        <v>1373</v>
      </c>
      <c r="C180" s="8">
        <v>3</v>
      </c>
      <c r="D180" s="9">
        <v>7.99</v>
      </c>
      <c r="E180" s="8">
        <v>1008705100</v>
      </c>
      <c r="F180" s="7" t="s">
        <v>108</v>
      </c>
      <c r="G180" s="11" t="s">
        <v>1316</v>
      </c>
      <c r="H180" s="7" t="s">
        <v>931</v>
      </c>
      <c r="I180" s="7" t="s">
        <v>932</v>
      </c>
      <c r="J180" s="7" t="s">
        <v>52</v>
      </c>
      <c r="K180" s="7" t="s">
        <v>1329</v>
      </c>
      <c r="L180" s="12" t="str">
        <f>HYPERLINK("http://slimages.macys.com/is/image/MCY/16025875 ")</f>
        <v xml:space="preserve">http://slimages.macys.com/is/image/MCY/16025875 </v>
      </c>
      <c r="M180" s="13"/>
    </row>
    <row r="181" spans="1:13" ht="60" x14ac:dyDescent="0.25">
      <c r="A181" s="11" t="s">
        <v>1322</v>
      </c>
      <c r="B181" s="7" t="s">
        <v>1323</v>
      </c>
      <c r="C181" s="8">
        <v>1</v>
      </c>
      <c r="D181" s="9">
        <v>12.99</v>
      </c>
      <c r="E181" s="8">
        <v>1001232300</v>
      </c>
      <c r="F181" s="7" t="s">
        <v>93</v>
      </c>
      <c r="G181" s="11" t="s">
        <v>1150</v>
      </c>
      <c r="H181" s="7" t="s">
        <v>931</v>
      </c>
      <c r="I181" s="7" t="s">
        <v>932</v>
      </c>
      <c r="J181" s="7" t="s">
        <v>52</v>
      </c>
      <c r="K181" s="7" t="s">
        <v>516</v>
      </c>
      <c r="L181" s="12" t="str">
        <f>HYPERLINK("http://slimages.macys.com/is/image/MCY/9507663 ")</f>
        <v xml:space="preserve">http://slimages.macys.com/is/image/MCY/9507663 </v>
      </c>
      <c r="M181" s="13"/>
    </row>
    <row r="182" spans="1:13" ht="60" x14ac:dyDescent="0.25">
      <c r="A182" s="11" t="s">
        <v>1116</v>
      </c>
      <c r="B182" s="7" t="s">
        <v>1117</v>
      </c>
      <c r="C182" s="8">
        <v>1</v>
      </c>
      <c r="D182" s="9">
        <v>75</v>
      </c>
      <c r="E182" s="8" t="s">
        <v>1118</v>
      </c>
      <c r="F182" s="7" t="s">
        <v>167</v>
      </c>
      <c r="G182" s="11"/>
      <c r="H182" s="7" t="s">
        <v>427</v>
      </c>
      <c r="I182" s="7" t="s">
        <v>428</v>
      </c>
      <c r="J182" s="7" t="s">
        <v>132</v>
      </c>
      <c r="K182" s="7" t="s">
        <v>59</v>
      </c>
      <c r="L182" s="12" t="str">
        <f>HYPERLINK("http://images.bloomingdales.com/is/image/BLM/9818908 ")</f>
        <v xml:space="preserve">http://images.bloomingdales.com/is/image/BLM/9818908 </v>
      </c>
      <c r="M182" s="13"/>
    </row>
    <row r="183" spans="1:13" ht="60" x14ac:dyDescent="0.25">
      <c r="A183" s="11" t="s">
        <v>853</v>
      </c>
      <c r="B183" s="7" t="s">
        <v>854</v>
      </c>
      <c r="C183" s="8">
        <v>2</v>
      </c>
      <c r="D183" s="9">
        <v>95</v>
      </c>
      <c r="E183" s="8" t="s">
        <v>855</v>
      </c>
      <c r="F183" s="7" t="s">
        <v>167</v>
      </c>
      <c r="G183" s="11"/>
      <c r="H183" s="7" t="s">
        <v>427</v>
      </c>
      <c r="I183" s="7" t="s">
        <v>428</v>
      </c>
      <c r="J183" s="7" t="s">
        <v>132</v>
      </c>
      <c r="K183" s="7" t="s">
        <v>59</v>
      </c>
      <c r="L183" s="12" t="str">
        <f>HYPERLINK("http://images.bloomingdales.com/is/image/BLM/9818908 ")</f>
        <v xml:space="preserve">http://images.bloomingdales.com/is/image/BLM/9818908 </v>
      </c>
      <c r="M183" s="13"/>
    </row>
    <row r="184" spans="1:13" ht="60" x14ac:dyDescent="0.25">
      <c r="A184" s="11" t="s">
        <v>424</v>
      </c>
      <c r="B184" s="7" t="s">
        <v>425</v>
      </c>
      <c r="C184" s="8">
        <v>2</v>
      </c>
      <c r="D184" s="9">
        <v>120</v>
      </c>
      <c r="E184" s="8" t="s">
        <v>426</v>
      </c>
      <c r="F184" s="7" t="s">
        <v>167</v>
      </c>
      <c r="G184" s="11"/>
      <c r="H184" s="7" t="s">
        <v>427</v>
      </c>
      <c r="I184" s="7" t="s">
        <v>428</v>
      </c>
      <c r="J184" s="7" t="s">
        <v>132</v>
      </c>
      <c r="K184" s="7" t="s">
        <v>59</v>
      </c>
      <c r="L184" s="12" t="str">
        <f>HYPERLINK("http://images.bloomingdales.com/is/image/BLM/9818908 ")</f>
        <v xml:space="preserve">http://images.bloomingdales.com/is/image/BLM/9818908 </v>
      </c>
      <c r="M184" s="13"/>
    </row>
    <row r="185" spans="1:13" ht="72" x14ac:dyDescent="0.25">
      <c r="A185" s="11" t="s">
        <v>1262</v>
      </c>
      <c r="B185" s="7" t="s">
        <v>1263</v>
      </c>
      <c r="C185" s="8">
        <v>2</v>
      </c>
      <c r="D185" s="9">
        <v>30</v>
      </c>
      <c r="E185" s="8">
        <v>1004097900</v>
      </c>
      <c r="F185" s="7" t="s">
        <v>542</v>
      </c>
      <c r="G185" s="11" t="s">
        <v>797</v>
      </c>
      <c r="H185" s="7" t="s">
        <v>720</v>
      </c>
      <c r="I185" s="7" t="s">
        <v>1044</v>
      </c>
      <c r="J185" s="7" t="s">
        <v>1032</v>
      </c>
      <c r="K185" s="7" t="s">
        <v>1078</v>
      </c>
      <c r="L185" s="12" t="str">
        <f t="shared" ref="L185:L217" si="1">HYPERLINK("http://images.bloomingdales.com/is/image/BLM/10230660 ")</f>
        <v xml:space="preserve">http://images.bloomingdales.com/is/image/BLM/10230660 </v>
      </c>
      <c r="M185" s="13"/>
    </row>
    <row r="186" spans="1:13" ht="72" x14ac:dyDescent="0.25">
      <c r="A186" s="11" t="s">
        <v>1282</v>
      </c>
      <c r="B186" s="7" t="s">
        <v>1263</v>
      </c>
      <c r="C186" s="8">
        <v>1</v>
      </c>
      <c r="D186" s="9">
        <v>30</v>
      </c>
      <c r="E186" s="8">
        <v>1004097900</v>
      </c>
      <c r="F186" s="7" t="s">
        <v>625</v>
      </c>
      <c r="G186" s="11" t="s">
        <v>797</v>
      </c>
      <c r="H186" s="7" t="s">
        <v>720</v>
      </c>
      <c r="I186" s="7" t="s">
        <v>1044</v>
      </c>
      <c r="J186" s="7" t="s">
        <v>1032</v>
      </c>
      <c r="K186" s="7" t="s">
        <v>1078</v>
      </c>
      <c r="L186" s="12" t="str">
        <f t="shared" si="1"/>
        <v xml:space="preserve">http://images.bloomingdales.com/is/image/BLM/10230660 </v>
      </c>
      <c r="M186" s="13"/>
    </row>
    <row r="187" spans="1:13" ht="72" x14ac:dyDescent="0.25">
      <c r="A187" s="11" t="s">
        <v>1283</v>
      </c>
      <c r="B187" s="7" t="s">
        <v>1263</v>
      </c>
      <c r="C187" s="8">
        <v>2</v>
      </c>
      <c r="D187" s="9">
        <v>30</v>
      </c>
      <c r="E187" s="8">
        <v>1004097900</v>
      </c>
      <c r="F187" s="7" t="s">
        <v>167</v>
      </c>
      <c r="G187" s="11" t="s">
        <v>797</v>
      </c>
      <c r="H187" s="7" t="s">
        <v>720</v>
      </c>
      <c r="I187" s="7" t="s">
        <v>1044</v>
      </c>
      <c r="J187" s="7" t="s">
        <v>1032</v>
      </c>
      <c r="K187" s="7" t="s">
        <v>1078</v>
      </c>
      <c r="L187" s="12" t="str">
        <f t="shared" si="1"/>
        <v xml:space="preserve">http://images.bloomingdales.com/is/image/BLM/10230660 </v>
      </c>
      <c r="M187" s="13"/>
    </row>
    <row r="188" spans="1:13" ht="72" x14ac:dyDescent="0.25">
      <c r="A188" s="11" t="s">
        <v>1284</v>
      </c>
      <c r="B188" s="7" t="s">
        <v>1263</v>
      </c>
      <c r="C188" s="8">
        <v>1</v>
      </c>
      <c r="D188" s="9">
        <v>30</v>
      </c>
      <c r="E188" s="8">
        <v>1004097900</v>
      </c>
      <c r="F188" s="7" t="s">
        <v>268</v>
      </c>
      <c r="G188" s="11" t="s">
        <v>797</v>
      </c>
      <c r="H188" s="7" t="s">
        <v>720</v>
      </c>
      <c r="I188" s="7" t="s">
        <v>1044</v>
      </c>
      <c r="J188" s="7" t="s">
        <v>1032</v>
      </c>
      <c r="K188" s="7" t="s">
        <v>1078</v>
      </c>
      <c r="L188" s="12" t="str">
        <f t="shared" si="1"/>
        <v xml:space="preserve">http://images.bloomingdales.com/is/image/BLM/10230660 </v>
      </c>
      <c r="M188" s="13"/>
    </row>
    <row r="189" spans="1:13" ht="72" x14ac:dyDescent="0.25">
      <c r="A189" s="11" t="s">
        <v>1042</v>
      </c>
      <c r="B189" s="7" t="s">
        <v>1043</v>
      </c>
      <c r="C189" s="8">
        <v>2</v>
      </c>
      <c r="D189" s="9">
        <v>50</v>
      </c>
      <c r="E189" s="8">
        <v>1004098400</v>
      </c>
      <c r="F189" s="7" t="s">
        <v>625</v>
      </c>
      <c r="G189" s="11" t="s">
        <v>733</v>
      </c>
      <c r="H189" s="7" t="s">
        <v>720</v>
      </c>
      <c r="I189" s="7" t="s">
        <v>1044</v>
      </c>
      <c r="J189" s="7" t="s">
        <v>1032</v>
      </c>
      <c r="K189" s="7" t="s">
        <v>1045</v>
      </c>
      <c r="L189" s="12" t="str">
        <f t="shared" si="1"/>
        <v xml:space="preserve">http://images.bloomingdales.com/is/image/BLM/10230660 </v>
      </c>
      <c r="M189" s="13"/>
    </row>
    <row r="190" spans="1:13" ht="72" x14ac:dyDescent="0.25">
      <c r="A190" s="11" t="s">
        <v>1046</v>
      </c>
      <c r="B190" s="7" t="s">
        <v>1043</v>
      </c>
      <c r="C190" s="8">
        <v>1</v>
      </c>
      <c r="D190" s="9">
        <v>50</v>
      </c>
      <c r="E190" s="8">
        <v>1004098400</v>
      </c>
      <c r="F190" s="7" t="s">
        <v>167</v>
      </c>
      <c r="G190" s="11" t="s">
        <v>733</v>
      </c>
      <c r="H190" s="7" t="s">
        <v>720</v>
      </c>
      <c r="I190" s="7" t="s">
        <v>1044</v>
      </c>
      <c r="J190" s="7" t="s">
        <v>1032</v>
      </c>
      <c r="K190" s="7" t="s">
        <v>1045</v>
      </c>
      <c r="L190" s="12" t="str">
        <f t="shared" si="1"/>
        <v xml:space="preserve">http://images.bloomingdales.com/is/image/BLM/10230660 </v>
      </c>
      <c r="M190" s="13"/>
    </row>
    <row r="191" spans="1:13" ht="72" x14ac:dyDescent="0.25">
      <c r="A191" s="11" t="s">
        <v>1339</v>
      </c>
      <c r="B191" s="7" t="s">
        <v>1340</v>
      </c>
      <c r="C191" s="8">
        <v>4</v>
      </c>
      <c r="D191" s="9">
        <v>14.99</v>
      </c>
      <c r="E191" s="8">
        <v>1004098000</v>
      </c>
      <c r="F191" s="7"/>
      <c r="G191" s="11" t="s">
        <v>1150</v>
      </c>
      <c r="H191" s="7" t="s">
        <v>720</v>
      </c>
      <c r="I191" s="7" t="s">
        <v>1044</v>
      </c>
      <c r="J191" s="7" t="s">
        <v>1032</v>
      </c>
      <c r="K191" s="7" t="s">
        <v>1341</v>
      </c>
      <c r="L191" s="12" t="str">
        <f t="shared" si="1"/>
        <v xml:space="preserve">http://images.bloomingdales.com/is/image/BLM/10230660 </v>
      </c>
      <c r="M191" s="13"/>
    </row>
    <row r="192" spans="1:13" ht="72" x14ac:dyDescent="0.25">
      <c r="A192" s="11" t="s">
        <v>1342</v>
      </c>
      <c r="B192" s="7" t="s">
        <v>1340</v>
      </c>
      <c r="C192" s="8">
        <v>3</v>
      </c>
      <c r="D192" s="9">
        <v>20</v>
      </c>
      <c r="E192" s="8">
        <v>1004098000</v>
      </c>
      <c r="F192" s="7" t="s">
        <v>43</v>
      </c>
      <c r="G192" s="11" t="s">
        <v>1150</v>
      </c>
      <c r="H192" s="7" t="s">
        <v>720</v>
      </c>
      <c r="I192" s="7" t="s">
        <v>1044</v>
      </c>
      <c r="J192" s="7" t="s">
        <v>1032</v>
      </c>
      <c r="K192" s="7" t="s">
        <v>1341</v>
      </c>
      <c r="L192" s="12" t="str">
        <f t="shared" si="1"/>
        <v xml:space="preserve">http://images.bloomingdales.com/is/image/BLM/10230660 </v>
      </c>
      <c r="M192" s="13"/>
    </row>
    <row r="193" spans="1:13" ht="72" x14ac:dyDescent="0.25">
      <c r="A193" s="11" t="s">
        <v>1343</v>
      </c>
      <c r="B193" s="7" t="s">
        <v>1340</v>
      </c>
      <c r="C193" s="8">
        <v>1</v>
      </c>
      <c r="D193" s="9">
        <v>20</v>
      </c>
      <c r="E193" s="8">
        <v>1004098000</v>
      </c>
      <c r="F193" s="7" t="s">
        <v>103</v>
      </c>
      <c r="G193" s="11" t="s">
        <v>1150</v>
      </c>
      <c r="H193" s="7" t="s">
        <v>720</v>
      </c>
      <c r="I193" s="7" t="s">
        <v>1044</v>
      </c>
      <c r="J193" s="7" t="s">
        <v>1032</v>
      </c>
      <c r="K193" s="7" t="s">
        <v>1341</v>
      </c>
      <c r="L193" s="12" t="str">
        <f t="shared" si="1"/>
        <v xml:space="preserve">http://images.bloomingdales.com/is/image/BLM/10230660 </v>
      </c>
      <c r="M193" s="13"/>
    </row>
    <row r="194" spans="1:13" ht="72" x14ac:dyDescent="0.25">
      <c r="A194" s="11" t="s">
        <v>1344</v>
      </c>
      <c r="B194" s="7" t="s">
        <v>1340</v>
      </c>
      <c r="C194" s="8">
        <v>2</v>
      </c>
      <c r="D194" s="9">
        <v>20</v>
      </c>
      <c r="E194" s="8">
        <v>1004098000</v>
      </c>
      <c r="F194" s="7" t="s">
        <v>557</v>
      </c>
      <c r="G194" s="11" t="s">
        <v>1150</v>
      </c>
      <c r="H194" s="7" t="s">
        <v>720</v>
      </c>
      <c r="I194" s="7" t="s">
        <v>1044</v>
      </c>
      <c r="J194" s="7" t="s">
        <v>1032</v>
      </c>
      <c r="K194" s="7" t="s">
        <v>1341</v>
      </c>
      <c r="L194" s="12" t="str">
        <f t="shared" si="1"/>
        <v xml:space="preserve">http://images.bloomingdales.com/is/image/BLM/10230660 </v>
      </c>
      <c r="M194" s="13"/>
    </row>
    <row r="195" spans="1:13" ht="72" x14ac:dyDescent="0.25">
      <c r="A195" s="11" t="s">
        <v>1345</v>
      </c>
      <c r="B195" s="7" t="s">
        <v>1340</v>
      </c>
      <c r="C195" s="8">
        <v>1</v>
      </c>
      <c r="D195" s="9">
        <v>20</v>
      </c>
      <c r="E195" s="8">
        <v>1004098000</v>
      </c>
      <c r="F195" s="7" t="s">
        <v>49</v>
      </c>
      <c r="G195" s="11" t="s">
        <v>1150</v>
      </c>
      <c r="H195" s="7" t="s">
        <v>720</v>
      </c>
      <c r="I195" s="7" t="s">
        <v>1044</v>
      </c>
      <c r="J195" s="7" t="s">
        <v>1032</v>
      </c>
      <c r="K195" s="7" t="s">
        <v>1341</v>
      </c>
      <c r="L195" s="12" t="str">
        <f t="shared" si="1"/>
        <v xml:space="preserve">http://images.bloomingdales.com/is/image/BLM/10230660 </v>
      </c>
      <c r="M195" s="13"/>
    </row>
    <row r="196" spans="1:13" ht="72" x14ac:dyDescent="0.25">
      <c r="A196" s="11" t="s">
        <v>1346</v>
      </c>
      <c r="B196" s="7" t="s">
        <v>1340</v>
      </c>
      <c r="C196" s="8">
        <v>2</v>
      </c>
      <c r="D196" s="9">
        <v>20</v>
      </c>
      <c r="E196" s="8">
        <v>1004098000</v>
      </c>
      <c r="F196" s="7" t="s">
        <v>625</v>
      </c>
      <c r="G196" s="11" t="s">
        <v>1150</v>
      </c>
      <c r="H196" s="7" t="s">
        <v>720</v>
      </c>
      <c r="I196" s="7" t="s">
        <v>1044</v>
      </c>
      <c r="J196" s="7" t="s">
        <v>1032</v>
      </c>
      <c r="K196" s="7" t="s">
        <v>1341</v>
      </c>
      <c r="L196" s="12" t="str">
        <f t="shared" si="1"/>
        <v xml:space="preserve">http://images.bloomingdales.com/is/image/BLM/10230660 </v>
      </c>
      <c r="M196" s="13"/>
    </row>
    <row r="197" spans="1:13" ht="72" x14ac:dyDescent="0.25">
      <c r="A197" s="11" t="s">
        <v>1347</v>
      </c>
      <c r="B197" s="7" t="s">
        <v>1340</v>
      </c>
      <c r="C197" s="8">
        <v>1</v>
      </c>
      <c r="D197" s="9">
        <v>20</v>
      </c>
      <c r="E197" s="8">
        <v>1004098000</v>
      </c>
      <c r="F197" s="7" t="s">
        <v>167</v>
      </c>
      <c r="G197" s="11" t="s">
        <v>1150</v>
      </c>
      <c r="H197" s="7" t="s">
        <v>720</v>
      </c>
      <c r="I197" s="7" t="s">
        <v>1044</v>
      </c>
      <c r="J197" s="7" t="s">
        <v>1032</v>
      </c>
      <c r="K197" s="7" t="s">
        <v>1341</v>
      </c>
      <c r="L197" s="12" t="str">
        <f t="shared" si="1"/>
        <v xml:space="preserve">http://images.bloomingdales.com/is/image/BLM/10230660 </v>
      </c>
      <c r="M197" s="13"/>
    </row>
    <row r="198" spans="1:13" ht="72" x14ac:dyDescent="0.25">
      <c r="A198" s="11" t="s">
        <v>1348</v>
      </c>
      <c r="B198" s="7" t="s">
        <v>1340</v>
      </c>
      <c r="C198" s="8">
        <v>2</v>
      </c>
      <c r="D198" s="9">
        <v>20</v>
      </c>
      <c r="E198" s="8">
        <v>1004098000</v>
      </c>
      <c r="F198" s="7" t="s">
        <v>542</v>
      </c>
      <c r="G198" s="11" t="s">
        <v>1150</v>
      </c>
      <c r="H198" s="7" t="s">
        <v>720</v>
      </c>
      <c r="I198" s="7" t="s">
        <v>1044</v>
      </c>
      <c r="J198" s="7" t="s">
        <v>1032</v>
      </c>
      <c r="K198" s="7" t="s">
        <v>1341</v>
      </c>
      <c r="L198" s="12" t="str">
        <f t="shared" si="1"/>
        <v xml:space="preserve">http://images.bloomingdales.com/is/image/BLM/10230660 </v>
      </c>
      <c r="M198" s="13"/>
    </row>
    <row r="199" spans="1:13" ht="72" x14ac:dyDescent="0.25">
      <c r="A199" s="11" t="s">
        <v>1076</v>
      </c>
      <c r="B199" s="7" t="s">
        <v>1077</v>
      </c>
      <c r="C199" s="8">
        <v>1</v>
      </c>
      <c r="D199" s="9">
        <v>30</v>
      </c>
      <c r="E199" s="8">
        <v>1004098500</v>
      </c>
      <c r="F199" s="7" t="s">
        <v>43</v>
      </c>
      <c r="G199" s="11" t="s">
        <v>884</v>
      </c>
      <c r="H199" s="7" t="s">
        <v>720</v>
      </c>
      <c r="I199" s="7" t="s">
        <v>1044</v>
      </c>
      <c r="J199" s="7" t="s">
        <v>1032</v>
      </c>
      <c r="K199" s="7" t="s">
        <v>1078</v>
      </c>
      <c r="L199" s="12" t="str">
        <f t="shared" si="1"/>
        <v xml:space="preserve">http://images.bloomingdales.com/is/image/BLM/10230660 </v>
      </c>
      <c r="M199" s="13"/>
    </row>
    <row r="200" spans="1:13" ht="72" x14ac:dyDescent="0.25">
      <c r="A200" s="11" t="s">
        <v>1079</v>
      </c>
      <c r="B200" s="7" t="s">
        <v>1077</v>
      </c>
      <c r="C200" s="8">
        <v>3</v>
      </c>
      <c r="D200" s="9">
        <v>30</v>
      </c>
      <c r="E200" s="8">
        <v>1004098500</v>
      </c>
      <c r="F200" s="7" t="s">
        <v>167</v>
      </c>
      <c r="G200" s="11" t="s">
        <v>884</v>
      </c>
      <c r="H200" s="7" t="s">
        <v>720</v>
      </c>
      <c r="I200" s="7" t="s">
        <v>1044</v>
      </c>
      <c r="J200" s="7" t="s">
        <v>1032</v>
      </c>
      <c r="K200" s="7" t="s">
        <v>1078</v>
      </c>
      <c r="L200" s="12" t="str">
        <f t="shared" si="1"/>
        <v xml:space="preserve">http://images.bloomingdales.com/is/image/BLM/10230660 </v>
      </c>
      <c r="M200" s="13"/>
    </row>
    <row r="201" spans="1:13" ht="72" x14ac:dyDescent="0.25">
      <c r="A201" s="11" t="s">
        <v>1080</v>
      </c>
      <c r="B201" s="7" t="s">
        <v>1077</v>
      </c>
      <c r="C201" s="8">
        <v>60</v>
      </c>
      <c r="D201" s="9">
        <v>30</v>
      </c>
      <c r="E201" s="8">
        <v>1004098500</v>
      </c>
      <c r="F201" s="7" t="s">
        <v>625</v>
      </c>
      <c r="G201" s="11" t="s">
        <v>884</v>
      </c>
      <c r="H201" s="7" t="s">
        <v>720</v>
      </c>
      <c r="I201" s="7" t="s">
        <v>1044</v>
      </c>
      <c r="J201" s="7" t="s">
        <v>1032</v>
      </c>
      <c r="K201" s="7" t="s">
        <v>1078</v>
      </c>
      <c r="L201" s="12" t="str">
        <f t="shared" si="1"/>
        <v xml:space="preserve">http://images.bloomingdales.com/is/image/BLM/10230660 </v>
      </c>
      <c r="M201" s="13"/>
    </row>
    <row r="202" spans="1:13" ht="72" x14ac:dyDescent="0.25">
      <c r="A202" s="11" t="s">
        <v>1081</v>
      </c>
      <c r="B202" s="7" t="s">
        <v>1077</v>
      </c>
      <c r="C202" s="8">
        <v>1</v>
      </c>
      <c r="D202" s="9">
        <v>30</v>
      </c>
      <c r="E202" s="8">
        <v>1004098500</v>
      </c>
      <c r="F202" s="7" t="s">
        <v>103</v>
      </c>
      <c r="G202" s="11" t="s">
        <v>884</v>
      </c>
      <c r="H202" s="7" t="s">
        <v>720</v>
      </c>
      <c r="I202" s="7" t="s">
        <v>1044</v>
      </c>
      <c r="J202" s="7" t="s">
        <v>1032</v>
      </c>
      <c r="K202" s="7" t="s">
        <v>1078</v>
      </c>
      <c r="L202" s="12" t="str">
        <f t="shared" si="1"/>
        <v xml:space="preserve">http://images.bloomingdales.com/is/image/BLM/10230660 </v>
      </c>
      <c r="M202" s="13"/>
    </row>
    <row r="203" spans="1:13" ht="72" x14ac:dyDescent="0.25">
      <c r="A203" s="11" t="s">
        <v>1082</v>
      </c>
      <c r="B203" s="7" t="s">
        <v>1077</v>
      </c>
      <c r="C203" s="8">
        <v>1</v>
      </c>
      <c r="D203" s="9">
        <v>30</v>
      </c>
      <c r="E203" s="8">
        <v>1004098500</v>
      </c>
      <c r="F203" s="7" t="s">
        <v>268</v>
      </c>
      <c r="G203" s="11" t="s">
        <v>884</v>
      </c>
      <c r="H203" s="7" t="s">
        <v>720</v>
      </c>
      <c r="I203" s="7" t="s">
        <v>1044</v>
      </c>
      <c r="J203" s="7" t="s">
        <v>1032</v>
      </c>
      <c r="K203" s="7" t="s">
        <v>1078</v>
      </c>
      <c r="L203" s="12" t="str">
        <f t="shared" si="1"/>
        <v xml:space="preserve">http://images.bloomingdales.com/is/image/BLM/10230660 </v>
      </c>
      <c r="M203" s="13"/>
    </row>
    <row r="204" spans="1:13" ht="72" x14ac:dyDescent="0.25">
      <c r="A204" s="11" t="s">
        <v>1083</v>
      </c>
      <c r="B204" s="7" t="s">
        <v>1077</v>
      </c>
      <c r="C204" s="8">
        <v>28</v>
      </c>
      <c r="D204" s="9">
        <v>30</v>
      </c>
      <c r="E204" s="8">
        <v>1004098500</v>
      </c>
      <c r="F204" s="7" t="s">
        <v>732</v>
      </c>
      <c r="G204" s="11" t="s">
        <v>884</v>
      </c>
      <c r="H204" s="7" t="s">
        <v>720</v>
      </c>
      <c r="I204" s="7" t="s">
        <v>1044</v>
      </c>
      <c r="J204" s="7" t="s">
        <v>1032</v>
      </c>
      <c r="K204" s="7" t="s">
        <v>1078</v>
      </c>
      <c r="L204" s="12" t="str">
        <f t="shared" si="1"/>
        <v xml:space="preserve">http://images.bloomingdales.com/is/image/BLM/10230660 </v>
      </c>
      <c r="M204" s="13"/>
    </row>
    <row r="205" spans="1:13" ht="72" x14ac:dyDescent="0.25">
      <c r="A205" s="11" t="s">
        <v>1084</v>
      </c>
      <c r="B205" s="7" t="s">
        <v>1077</v>
      </c>
      <c r="C205" s="8">
        <v>1</v>
      </c>
      <c r="D205" s="9">
        <v>30</v>
      </c>
      <c r="E205" s="8">
        <v>1004098500</v>
      </c>
      <c r="F205" s="7" t="s">
        <v>49</v>
      </c>
      <c r="G205" s="11" t="s">
        <v>884</v>
      </c>
      <c r="H205" s="7" t="s">
        <v>720</v>
      </c>
      <c r="I205" s="7" t="s">
        <v>1044</v>
      </c>
      <c r="J205" s="7" t="s">
        <v>1032</v>
      </c>
      <c r="K205" s="7" t="s">
        <v>1078</v>
      </c>
      <c r="L205" s="12" t="str">
        <f t="shared" si="1"/>
        <v xml:space="preserve">http://images.bloomingdales.com/is/image/BLM/10230660 </v>
      </c>
      <c r="M205" s="13"/>
    </row>
    <row r="206" spans="1:13" ht="72" x14ac:dyDescent="0.25">
      <c r="A206" s="11" t="s">
        <v>1361</v>
      </c>
      <c r="B206" s="7" t="s">
        <v>1362</v>
      </c>
      <c r="C206" s="8">
        <v>1</v>
      </c>
      <c r="D206" s="9">
        <v>12</v>
      </c>
      <c r="E206" s="8">
        <v>1004098100</v>
      </c>
      <c r="F206" s="7" t="s">
        <v>557</v>
      </c>
      <c r="G206" s="11" t="s">
        <v>1316</v>
      </c>
      <c r="H206" s="7" t="s">
        <v>720</v>
      </c>
      <c r="I206" s="7" t="s">
        <v>1044</v>
      </c>
      <c r="J206" s="7" t="s">
        <v>1032</v>
      </c>
      <c r="K206" s="7" t="s">
        <v>1078</v>
      </c>
      <c r="L206" s="12" t="str">
        <f t="shared" si="1"/>
        <v xml:space="preserve">http://images.bloomingdales.com/is/image/BLM/10230660 </v>
      </c>
      <c r="M206" s="13"/>
    </row>
    <row r="207" spans="1:13" ht="72" x14ac:dyDescent="0.25">
      <c r="A207" s="11" t="s">
        <v>1363</v>
      </c>
      <c r="B207" s="7" t="s">
        <v>1362</v>
      </c>
      <c r="C207" s="8">
        <v>14</v>
      </c>
      <c r="D207" s="9">
        <v>12</v>
      </c>
      <c r="E207" s="8">
        <v>1004098100</v>
      </c>
      <c r="F207" s="7" t="s">
        <v>43</v>
      </c>
      <c r="G207" s="11" t="s">
        <v>1316</v>
      </c>
      <c r="H207" s="7" t="s">
        <v>720</v>
      </c>
      <c r="I207" s="7" t="s">
        <v>1044</v>
      </c>
      <c r="J207" s="7" t="s">
        <v>1032</v>
      </c>
      <c r="K207" s="7" t="s">
        <v>1078</v>
      </c>
      <c r="L207" s="12" t="str">
        <f t="shared" si="1"/>
        <v xml:space="preserve">http://images.bloomingdales.com/is/image/BLM/10230660 </v>
      </c>
      <c r="M207" s="13"/>
    </row>
    <row r="208" spans="1:13" ht="72" x14ac:dyDescent="0.25">
      <c r="A208" s="11" t="s">
        <v>1364</v>
      </c>
      <c r="B208" s="7" t="s">
        <v>1362</v>
      </c>
      <c r="C208" s="8">
        <v>2</v>
      </c>
      <c r="D208" s="9">
        <v>12</v>
      </c>
      <c r="E208" s="8">
        <v>1004098100</v>
      </c>
      <c r="F208" s="7" t="s">
        <v>103</v>
      </c>
      <c r="G208" s="11" t="s">
        <v>1316</v>
      </c>
      <c r="H208" s="7" t="s">
        <v>720</v>
      </c>
      <c r="I208" s="7" t="s">
        <v>1044</v>
      </c>
      <c r="J208" s="7" t="s">
        <v>1032</v>
      </c>
      <c r="K208" s="7" t="s">
        <v>1078</v>
      </c>
      <c r="L208" s="12" t="str">
        <f t="shared" si="1"/>
        <v xml:space="preserve">http://images.bloomingdales.com/is/image/BLM/10230660 </v>
      </c>
      <c r="M208" s="13"/>
    </row>
    <row r="209" spans="1:13" ht="72" x14ac:dyDescent="0.25">
      <c r="A209" s="11" t="s">
        <v>1365</v>
      </c>
      <c r="B209" s="7" t="s">
        <v>1362</v>
      </c>
      <c r="C209" s="8">
        <v>1</v>
      </c>
      <c r="D209" s="9">
        <v>12</v>
      </c>
      <c r="E209" s="8">
        <v>1004098100</v>
      </c>
      <c r="F209" s="7" t="s">
        <v>49</v>
      </c>
      <c r="G209" s="11" t="s">
        <v>1316</v>
      </c>
      <c r="H209" s="7" t="s">
        <v>720</v>
      </c>
      <c r="I209" s="7" t="s">
        <v>1044</v>
      </c>
      <c r="J209" s="7" t="s">
        <v>1032</v>
      </c>
      <c r="K209" s="7" t="s">
        <v>1078</v>
      </c>
      <c r="L209" s="12" t="str">
        <f t="shared" si="1"/>
        <v xml:space="preserve">http://images.bloomingdales.com/is/image/BLM/10230660 </v>
      </c>
      <c r="M209" s="13"/>
    </row>
    <row r="210" spans="1:13" ht="72" x14ac:dyDescent="0.25">
      <c r="A210" s="11" t="s">
        <v>1366</v>
      </c>
      <c r="B210" s="7" t="s">
        <v>1362</v>
      </c>
      <c r="C210" s="8">
        <v>2</v>
      </c>
      <c r="D210" s="9">
        <v>12</v>
      </c>
      <c r="E210" s="8">
        <v>1004098100</v>
      </c>
      <c r="F210" s="7" t="s">
        <v>167</v>
      </c>
      <c r="G210" s="11" t="s">
        <v>1316</v>
      </c>
      <c r="H210" s="7" t="s">
        <v>720</v>
      </c>
      <c r="I210" s="7" t="s">
        <v>1044</v>
      </c>
      <c r="J210" s="7" t="s">
        <v>1032</v>
      </c>
      <c r="K210" s="7" t="s">
        <v>1078</v>
      </c>
      <c r="L210" s="12" t="str">
        <f t="shared" si="1"/>
        <v xml:space="preserve">http://images.bloomingdales.com/is/image/BLM/10230660 </v>
      </c>
      <c r="M210" s="13"/>
    </row>
    <row r="211" spans="1:13" ht="72" x14ac:dyDescent="0.25">
      <c r="A211" s="11" t="s">
        <v>1361</v>
      </c>
      <c r="B211" s="7" t="s">
        <v>1362</v>
      </c>
      <c r="C211" s="8">
        <v>5</v>
      </c>
      <c r="D211" s="9">
        <v>12</v>
      </c>
      <c r="E211" s="8">
        <v>1004098100</v>
      </c>
      <c r="F211" s="7" t="s">
        <v>557</v>
      </c>
      <c r="G211" s="11" t="s">
        <v>1316</v>
      </c>
      <c r="H211" s="7" t="s">
        <v>720</v>
      </c>
      <c r="I211" s="7" t="s">
        <v>1044</v>
      </c>
      <c r="J211" s="7" t="s">
        <v>1032</v>
      </c>
      <c r="K211" s="7" t="s">
        <v>1078</v>
      </c>
      <c r="L211" s="12" t="str">
        <f t="shared" si="1"/>
        <v xml:space="preserve">http://images.bloomingdales.com/is/image/BLM/10230660 </v>
      </c>
      <c r="M211" s="13"/>
    </row>
    <row r="212" spans="1:13" ht="72" x14ac:dyDescent="0.25">
      <c r="A212" s="11" t="s">
        <v>1367</v>
      </c>
      <c r="B212" s="7" t="s">
        <v>1362</v>
      </c>
      <c r="C212" s="8">
        <v>1</v>
      </c>
      <c r="D212" s="9">
        <v>12</v>
      </c>
      <c r="E212" s="8">
        <v>1004098100</v>
      </c>
      <c r="F212" s="7" t="s">
        <v>268</v>
      </c>
      <c r="G212" s="11" t="s">
        <v>1316</v>
      </c>
      <c r="H212" s="7" t="s">
        <v>720</v>
      </c>
      <c r="I212" s="7" t="s">
        <v>1044</v>
      </c>
      <c r="J212" s="7" t="s">
        <v>1032</v>
      </c>
      <c r="K212" s="7" t="s">
        <v>1078</v>
      </c>
      <c r="L212" s="12" t="str">
        <f t="shared" si="1"/>
        <v xml:space="preserve">http://images.bloomingdales.com/is/image/BLM/10230660 </v>
      </c>
      <c r="M212" s="13"/>
    </row>
    <row r="213" spans="1:13" ht="72" x14ac:dyDescent="0.25">
      <c r="A213" s="11" t="s">
        <v>1368</v>
      </c>
      <c r="B213" s="7" t="s">
        <v>1362</v>
      </c>
      <c r="C213" s="8">
        <v>11</v>
      </c>
      <c r="D213" s="9">
        <v>8.99</v>
      </c>
      <c r="E213" s="8">
        <v>1004098100</v>
      </c>
      <c r="F213" s="7"/>
      <c r="G213" s="11" t="s">
        <v>1316</v>
      </c>
      <c r="H213" s="7" t="s">
        <v>720</v>
      </c>
      <c r="I213" s="7" t="s">
        <v>1044</v>
      </c>
      <c r="J213" s="7" t="s">
        <v>1032</v>
      </c>
      <c r="K213" s="7" t="s">
        <v>1078</v>
      </c>
      <c r="L213" s="12" t="str">
        <f t="shared" si="1"/>
        <v xml:space="preserve">http://images.bloomingdales.com/is/image/BLM/10230660 </v>
      </c>
      <c r="M213" s="13"/>
    </row>
    <row r="214" spans="1:13" ht="72" x14ac:dyDescent="0.25">
      <c r="A214" s="11" t="s">
        <v>1369</v>
      </c>
      <c r="B214" s="7" t="s">
        <v>1362</v>
      </c>
      <c r="C214" s="8">
        <v>2</v>
      </c>
      <c r="D214" s="9">
        <v>12</v>
      </c>
      <c r="E214" s="8">
        <v>1004098100</v>
      </c>
      <c r="F214" s="7" t="s">
        <v>542</v>
      </c>
      <c r="G214" s="11" t="s">
        <v>1316</v>
      </c>
      <c r="H214" s="7" t="s">
        <v>720</v>
      </c>
      <c r="I214" s="7" t="s">
        <v>1044</v>
      </c>
      <c r="J214" s="7" t="s">
        <v>1032</v>
      </c>
      <c r="K214" s="7" t="s">
        <v>1078</v>
      </c>
      <c r="L214" s="12" t="str">
        <f t="shared" si="1"/>
        <v xml:space="preserve">http://images.bloomingdales.com/is/image/BLM/10230660 </v>
      </c>
      <c r="M214" s="13"/>
    </row>
    <row r="215" spans="1:13" ht="72" x14ac:dyDescent="0.25">
      <c r="A215" s="11" t="s">
        <v>1370</v>
      </c>
      <c r="B215" s="7" t="s">
        <v>1362</v>
      </c>
      <c r="C215" s="8">
        <v>1</v>
      </c>
      <c r="D215" s="9">
        <v>12</v>
      </c>
      <c r="E215" s="8">
        <v>1004098100</v>
      </c>
      <c r="F215" s="7" t="s">
        <v>167</v>
      </c>
      <c r="G215" s="11" t="s">
        <v>1316</v>
      </c>
      <c r="H215" s="7" t="s">
        <v>720</v>
      </c>
      <c r="I215" s="7" t="s">
        <v>1044</v>
      </c>
      <c r="J215" s="7" t="s">
        <v>1032</v>
      </c>
      <c r="K215" s="7" t="s">
        <v>1078</v>
      </c>
      <c r="L215" s="12" t="str">
        <f t="shared" si="1"/>
        <v xml:space="preserve">http://images.bloomingdales.com/is/image/BLM/10230660 </v>
      </c>
      <c r="M215" s="13"/>
    </row>
    <row r="216" spans="1:13" ht="72" x14ac:dyDescent="0.25">
      <c r="A216" s="11" t="s">
        <v>1371</v>
      </c>
      <c r="B216" s="7" t="s">
        <v>1362</v>
      </c>
      <c r="C216" s="8">
        <v>4</v>
      </c>
      <c r="D216" s="9">
        <v>12</v>
      </c>
      <c r="E216" s="8">
        <v>1004098100</v>
      </c>
      <c r="F216" s="7" t="s">
        <v>732</v>
      </c>
      <c r="G216" s="11" t="s">
        <v>1316</v>
      </c>
      <c r="H216" s="7" t="s">
        <v>720</v>
      </c>
      <c r="I216" s="7" t="s">
        <v>1044</v>
      </c>
      <c r="J216" s="7" t="s">
        <v>1032</v>
      </c>
      <c r="K216" s="7" t="s">
        <v>1078</v>
      </c>
      <c r="L216" s="12" t="str">
        <f t="shared" si="1"/>
        <v xml:space="preserve">http://images.bloomingdales.com/is/image/BLM/10230660 </v>
      </c>
      <c r="M216" s="13"/>
    </row>
    <row r="217" spans="1:13" ht="72" x14ac:dyDescent="0.25">
      <c r="A217" s="11" t="s">
        <v>1363</v>
      </c>
      <c r="B217" s="7" t="s">
        <v>1362</v>
      </c>
      <c r="C217" s="8">
        <v>1</v>
      </c>
      <c r="D217" s="9">
        <v>12</v>
      </c>
      <c r="E217" s="8">
        <v>1004098100</v>
      </c>
      <c r="F217" s="7" t="s">
        <v>43</v>
      </c>
      <c r="G217" s="11" t="s">
        <v>1316</v>
      </c>
      <c r="H217" s="7" t="s">
        <v>720</v>
      </c>
      <c r="I217" s="7" t="s">
        <v>1044</v>
      </c>
      <c r="J217" s="7" t="s">
        <v>1032</v>
      </c>
      <c r="K217" s="7" t="s">
        <v>1078</v>
      </c>
      <c r="L217" s="12" t="str">
        <f t="shared" si="1"/>
        <v xml:space="preserve">http://images.bloomingdales.com/is/image/BLM/10230660 </v>
      </c>
      <c r="M217" s="13"/>
    </row>
    <row r="218" spans="1:13" ht="72" x14ac:dyDescent="0.25">
      <c r="A218" s="11" t="s">
        <v>795</v>
      </c>
      <c r="B218" s="7" t="s">
        <v>796</v>
      </c>
      <c r="C218" s="8">
        <v>66</v>
      </c>
      <c r="D218" s="9">
        <v>50</v>
      </c>
      <c r="E218" s="8">
        <v>1002221900</v>
      </c>
      <c r="F218" s="7" t="s">
        <v>108</v>
      </c>
      <c r="G218" s="11" t="s">
        <v>797</v>
      </c>
      <c r="H218" s="7" t="s">
        <v>720</v>
      </c>
      <c r="I218" s="7" t="s">
        <v>734</v>
      </c>
      <c r="J218" s="7" t="s">
        <v>735</v>
      </c>
      <c r="K218" s="7" t="s">
        <v>516</v>
      </c>
      <c r="L218" s="12" t="str">
        <f>HYPERLINK("http://images.bloomingdales.com/is/image/BLM/10520152 ")</f>
        <v xml:space="preserve">http://images.bloomingdales.com/is/image/BLM/10520152 </v>
      </c>
      <c r="M218" s="13"/>
    </row>
    <row r="219" spans="1:13" ht="72" x14ac:dyDescent="0.25">
      <c r="A219" s="11" t="s">
        <v>1324</v>
      </c>
      <c r="B219" s="7" t="s">
        <v>1325</v>
      </c>
      <c r="C219" s="8">
        <v>3</v>
      </c>
      <c r="D219" s="9">
        <v>20</v>
      </c>
      <c r="E219" s="8">
        <v>1002222100</v>
      </c>
      <c r="F219" s="7" t="s">
        <v>108</v>
      </c>
      <c r="G219" s="11" t="s">
        <v>1316</v>
      </c>
      <c r="H219" s="7" t="s">
        <v>720</v>
      </c>
      <c r="I219" s="7" t="s">
        <v>734</v>
      </c>
      <c r="J219" s="7" t="s">
        <v>735</v>
      </c>
      <c r="K219" s="7" t="s">
        <v>516</v>
      </c>
      <c r="L219" s="12" t="str">
        <f>HYPERLINK("http://images.bloomingdales.com/is/image/BLM/10520152 ")</f>
        <v xml:space="preserve">http://images.bloomingdales.com/is/image/BLM/10520152 </v>
      </c>
      <c r="M219" s="13"/>
    </row>
    <row r="220" spans="1:13" ht="72" x14ac:dyDescent="0.25">
      <c r="A220" s="11" t="s">
        <v>1256</v>
      </c>
      <c r="B220" s="7" t="s">
        <v>1257</v>
      </c>
      <c r="C220" s="8">
        <v>1</v>
      </c>
      <c r="D220" s="9">
        <v>32</v>
      </c>
      <c r="E220" s="8" t="s">
        <v>1258</v>
      </c>
      <c r="F220" s="7" t="s">
        <v>942</v>
      </c>
      <c r="G220" s="11" t="s">
        <v>1150</v>
      </c>
      <c r="H220" s="7" t="s">
        <v>720</v>
      </c>
      <c r="I220" s="7" t="s">
        <v>734</v>
      </c>
      <c r="J220" s="7" t="s">
        <v>735</v>
      </c>
      <c r="K220" s="7" t="s">
        <v>736</v>
      </c>
      <c r="L220" s="12" t="str">
        <f t="shared" ref="L220:L232" si="2">HYPERLINK("http://images.bloomingdales.com/is/image/BLM/10231000 ")</f>
        <v xml:space="preserve">http://images.bloomingdales.com/is/image/BLM/10231000 </v>
      </c>
      <c r="M220" s="13"/>
    </row>
    <row r="221" spans="1:13" ht="72" x14ac:dyDescent="0.25">
      <c r="A221" s="11" t="s">
        <v>1253</v>
      </c>
      <c r="B221" s="7" t="s">
        <v>1254</v>
      </c>
      <c r="C221" s="8">
        <v>89</v>
      </c>
      <c r="D221" s="9">
        <v>32</v>
      </c>
      <c r="E221" s="8" t="s">
        <v>1255</v>
      </c>
      <c r="F221" s="7" t="s">
        <v>190</v>
      </c>
      <c r="G221" s="11" t="s">
        <v>1150</v>
      </c>
      <c r="H221" s="7" t="s">
        <v>720</v>
      </c>
      <c r="I221" s="7" t="s">
        <v>734</v>
      </c>
      <c r="J221" s="7" t="s">
        <v>735</v>
      </c>
      <c r="K221" s="7" t="s">
        <v>736</v>
      </c>
      <c r="L221" s="12" t="str">
        <f t="shared" si="2"/>
        <v xml:space="preserve">http://images.bloomingdales.com/is/image/BLM/10231000 </v>
      </c>
      <c r="M221" s="13"/>
    </row>
    <row r="222" spans="1:13" ht="72" x14ac:dyDescent="0.25">
      <c r="A222" s="11" t="s">
        <v>1253</v>
      </c>
      <c r="B222" s="7" t="s">
        <v>1254</v>
      </c>
      <c r="C222" s="8">
        <v>1</v>
      </c>
      <c r="D222" s="9">
        <v>32</v>
      </c>
      <c r="E222" s="8" t="s">
        <v>1255</v>
      </c>
      <c r="F222" s="7" t="s">
        <v>190</v>
      </c>
      <c r="G222" s="11" t="s">
        <v>1150</v>
      </c>
      <c r="H222" s="7" t="s">
        <v>720</v>
      </c>
      <c r="I222" s="7" t="s">
        <v>734</v>
      </c>
      <c r="J222" s="7" t="s">
        <v>735</v>
      </c>
      <c r="K222" s="7" t="s">
        <v>736</v>
      </c>
      <c r="L222" s="12" t="str">
        <f t="shared" si="2"/>
        <v xml:space="preserve">http://images.bloomingdales.com/is/image/BLM/10231000 </v>
      </c>
      <c r="M222" s="13"/>
    </row>
    <row r="223" spans="1:13" ht="72" x14ac:dyDescent="0.25">
      <c r="A223" s="11" t="s">
        <v>1253</v>
      </c>
      <c r="B223" s="7" t="s">
        <v>1254</v>
      </c>
      <c r="C223" s="8">
        <v>105</v>
      </c>
      <c r="D223" s="9">
        <v>32</v>
      </c>
      <c r="E223" s="8" t="s">
        <v>1255</v>
      </c>
      <c r="F223" s="7" t="s">
        <v>190</v>
      </c>
      <c r="G223" s="11" t="s">
        <v>1150</v>
      </c>
      <c r="H223" s="7" t="s">
        <v>720</v>
      </c>
      <c r="I223" s="7" t="s">
        <v>734</v>
      </c>
      <c r="J223" s="7" t="s">
        <v>735</v>
      </c>
      <c r="K223" s="7" t="s">
        <v>736</v>
      </c>
      <c r="L223" s="12" t="str">
        <f t="shared" si="2"/>
        <v xml:space="preserve">http://images.bloomingdales.com/is/image/BLM/10231000 </v>
      </c>
      <c r="M223" s="13"/>
    </row>
    <row r="224" spans="1:13" ht="72" x14ac:dyDescent="0.25">
      <c r="A224" s="11" t="s">
        <v>729</v>
      </c>
      <c r="B224" s="7" t="s">
        <v>730</v>
      </c>
      <c r="C224" s="8">
        <v>2</v>
      </c>
      <c r="D224" s="9">
        <v>59.99</v>
      </c>
      <c r="E224" s="8" t="s">
        <v>731</v>
      </c>
      <c r="F224" s="7" t="s">
        <v>732</v>
      </c>
      <c r="G224" s="11" t="s">
        <v>733</v>
      </c>
      <c r="H224" s="7" t="s">
        <v>720</v>
      </c>
      <c r="I224" s="7" t="s">
        <v>734</v>
      </c>
      <c r="J224" s="7" t="s">
        <v>735</v>
      </c>
      <c r="K224" s="7" t="s">
        <v>736</v>
      </c>
      <c r="L224" s="12" t="str">
        <f t="shared" si="2"/>
        <v xml:space="preserve">http://images.bloomingdales.com/is/image/BLM/10231000 </v>
      </c>
      <c r="M224" s="13"/>
    </row>
    <row r="225" spans="1:13" ht="72" x14ac:dyDescent="0.25">
      <c r="A225" s="11" t="s">
        <v>902</v>
      </c>
      <c r="B225" s="7" t="s">
        <v>903</v>
      </c>
      <c r="C225" s="8">
        <v>1</v>
      </c>
      <c r="D225" s="9">
        <v>50</v>
      </c>
      <c r="E225" s="8" t="s">
        <v>904</v>
      </c>
      <c r="F225" s="7" t="s">
        <v>190</v>
      </c>
      <c r="G225" s="11" t="s">
        <v>797</v>
      </c>
      <c r="H225" s="7" t="s">
        <v>720</v>
      </c>
      <c r="I225" s="7" t="s">
        <v>734</v>
      </c>
      <c r="J225" s="7" t="s">
        <v>735</v>
      </c>
      <c r="K225" s="7" t="s">
        <v>736</v>
      </c>
      <c r="L225" s="12" t="str">
        <f t="shared" si="2"/>
        <v xml:space="preserve">http://images.bloomingdales.com/is/image/BLM/10231000 </v>
      </c>
      <c r="M225" s="13"/>
    </row>
    <row r="226" spans="1:13" ht="72" x14ac:dyDescent="0.25">
      <c r="A226" s="11" t="s">
        <v>905</v>
      </c>
      <c r="B226" s="7" t="s">
        <v>903</v>
      </c>
      <c r="C226" s="8">
        <v>2</v>
      </c>
      <c r="D226" s="9">
        <v>50</v>
      </c>
      <c r="E226" s="8" t="s">
        <v>906</v>
      </c>
      <c r="F226" s="7" t="s">
        <v>268</v>
      </c>
      <c r="G226" s="11" t="s">
        <v>797</v>
      </c>
      <c r="H226" s="7" t="s">
        <v>720</v>
      </c>
      <c r="I226" s="7" t="s">
        <v>734</v>
      </c>
      <c r="J226" s="7" t="s">
        <v>735</v>
      </c>
      <c r="K226" s="7" t="s">
        <v>736</v>
      </c>
      <c r="L226" s="12" t="str">
        <f t="shared" si="2"/>
        <v xml:space="preserve">http://images.bloomingdales.com/is/image/BLM/10231000 </v>
      </c>
      <c r="M226" s="13"/>
    </row>
    <row r="227" spans="1:13" ht="72" x14ac:dyDescent="0.25">
      <c r="A227" s="11" t="s">
        <v>940</v>
      </c>
      <c r="B227" s="7" t="s">
        <v>903</v>
      </c>
      <c r="C227" s="8">
        <v>5</v>
      </c>
      <c r="D227" s="9">
        <v>65</v>
      </c>
      <c r="E227" s="8" t="s">
        <v>941</v>
      </c>
      <c r="F227" s="7" t="s">
        <v>942</v>
      </c>
      <c r="G227" s="11" t="s">
        <v>884</v>
      </c>
      <c r="H227" s="7" t="s">
        <v>720</v>
      </c>
      <c r="I227" s="7" t="s">
        <v>734</v>
      </c>
      <c r="J227" s="7" t="s">
        <v>735</v>
      </c>
      <c r="K227" s="7" t="s">
        <v>59</v>
      </c>
      <c r="L227" s="12" t="str">
        <f t="shared" si="2"/>
        <v xml:space="preserve">http://images.bloomingdales.com/is/image/BLM/10231000 </v>
      </c>
      <c r="M227" s="13"/>
    </row>
    <row r="228" spans="1:13" ht="72" x14ac:dyDescent="0.25">
      <c r="A228" s="11" t="s">
        <v>943</v>
      </c>
      <c r="B228" s="7" t="s">
        <v>903</v>
      </c>
      <c r="C228" s="8">
        <v>3</v>
      </c>
      <c r="D228" s="9">
        <v>65</v>
      </c>
      <c r="E228" s="8" t="s">
        <v>944</v>
      </c>
      <c r="F228" s="7" t="s">
        <v>268</v>
      </c>
      <c r="G228" s="11" t="s">
        <v>884</v>
      </c>
      <c r="H228" s="7" t="s">
        <v>720</v>
      </c>
      <c r="I228" s="7" t="s">
        <v>734</v>
      </c>
      <c r="J228" s="7" t="s">
        <v>735</v>
      </c>
      <c r="K228" s="7" t="s">
        <v>59</v>
      </c>
      <c r="L228" s="12" t="str">
        <f t="shared" si="2"/>
        <v xml:space="preserve">http://images.bloomingdales.com/is/image/BLM/10231000 </v>
      </c>
      <c r="M228" s="13"/>
    </row>
    <row r="229" spans="1:13" ht="72" x14ac:dyDescent="0.25">
      <c r="A229" s="11" t="s">
        <v>945</v>
      </c>
      <c r="B229" s="7" t="s">
        <v>903</v>
      </c>
      <c r="C229" s="8">
        <v>23</v>
      </c>
      <c r="D229" s="9">
        <v>65</v>
      </c>
      <c r="E229" s="8" t="s">
        <v>946</v>
      </c>
      <c r="F229" s="7" t="s">
        <v>190</v>
      </c>
      <c r="G229" s="11" t="s">
        <v>884</v>
      </c>
      <c r="H229" s="7" t="s">
        <v>720</v>
      </c>
      <c r="I229" s="7" t="s">
        <v>734</v>
      </c>
      <c r="J229" s="7" t="s">
        <v>735</v>
      </c>
      <c r="K229" s="7" t="s">
        <v>59</v>
      </c>
      <c r="L229" s="12" t="str">
        <f t="shared" si="2"/>
        <v xml:space="preserve">http://images.bloomingdales.com/is/image/BLM/10231000 </v>
      </c>
      <c r="M229" s="13"/>
    </row>
    <row r="230" spans="1:13" ht="72" x14ac:dyDescent="0.25">
      <c r="A230" s="11" t="s">
        <v>1376</v>
      </c>
      <c r="B230" s="7" t="s">
        <v>903</v>
      </c>
      <c r="C230" s="8">
        <v>12</v>
      </c>
      <c r="D230" s="9">
        <v>20</v>
      </c>
      <c r="E230" s="8" t="s">
        <v>1377</v>
      </c>
      <c r="F230" s="7" t="s">
        <v>190</v>
      </c>
      <c r="G230" s="11"/>
      <c r="H230" s="7" t="s">
        <v>720</v>
      </c>
      <c r="I230" s="7" t="s">
        <v>734</v>
      </c>
      <c r="J230" s="7" t="s">
        <v>735</v>
      </c>
      <c r="K230" s="7" t="s">
        <v>736</v>
      </c>
      <c r="L230" s="12" t="str">
        <f t="shared" si="2"/>
        <v xml:space="preserve">http://images.bloomingdales.com/is/image/BLM/10231000 </v>
      </c>
      <c r="M230" s="13"/>
    </row>
    <row r="231" spans="1:13" ht="72" x14ac:dyDescent="0.25">
      <c r="A231" s="11" t="s">
        <v>1378</v>
      </c>
      <c r="B231" s="7" t="s">
        <v>903</v>
      </c>
      <c r="C231" s="8">
        <v>11</v>
      </c>
      <c r="D231" s="9">
        <v>20</v>
      </c>
      <c r="E231" s="8" t="s">
        <v>1379</v>
      </c>
      <c r="F231" s="7" t="s">
        <v>268</v>
      </c>
      <c r="G231" s="11"/>
      <c r="H231" s="7" t="s">
        <v>720</v>
      </c>
      <c r="I231" s="7" t="s">
        <v>734</v>
      </c>
      <c r="J231" s="7" t="s">
        <v>735</v>
      </c>
      <c r="K231" s="7" t="s">
        <v>736</v>
      </c>
      <c r="L231" s="12" t="str">
        <f t="shared" si="2"/>
        <v xml:space="preserve">http://images.bloomingdales.com/is/image/BLM/10231000 </v>
      </c>
      <c r="M231" s="13"/>
    </row>
    <row r="232" spans="1:13" ht="72" x14ac:dyDescent="0.25">
      <c r="A232" s="11" t="s">
        <v>1380</v>
      </c>
      <c r="B232" s="7" t="s">
        <v>903</v>
      </c>
      <c r="C232" s="8">
        <v>3</v>
      </c>
      <c r="D232" s="9">
        <v>20</v>
      </c>
      <c r="E232" s="8" t="s">
        <v>1379</v>
      </c>
      <c r="F232" s="7" t="s">
        <v>268</v>
      </c>
      <c r="G232" s="11" t="s">
        <v>1316</v>
      </c>
      <c r="H232" s="7" t="s">
        <v>720</v>
      </c>
      <c r="I232" s="7" t="s">
        <v>734</v>
      </c>
      <c r="J232" s="7" t="s">
        <v>735</v>
      </c>
      <c r="K232" s="7" t="s">
        <v>736</v>
      </c>
      <c r="L232" s="12" t="str">
        <f t="shared" si="2"/>
        <v xml:space="preserve">http://images.bloomingdales.com/is/image/BLM/10231000 </v>
      </c>
      <c r="M232" s="13"/>
    </row>
    <row r="233" spans="1:13" ht="60" x14ac:dyDescent="0.25">
      <c r="A233" s="11" t="s">
        <v>434</v>
      </c>
      <c r="B233" s="7" t="s">
        <v>435</v>
      </c>
      <c r="C233" s="8">
        <v>1</v>
      </c>
      <c r="D233" s="9">
        <v>125</v>
      </c>
      <c r="E233" s="8" t="s">
        <v>436</v>
      </c>
      <c r="F233" s="7" t="s">
        <v>49</v>
      </c>
      <c r="G233" s="11" t="s">
        <v>437</v>
      </c>
      <c r="H233" s="7" t="s">
        <v>64</v>
      </c>
      <c r="I233" s="7" t="s">
        <v>438</v>
      </c>
      <c r="J233" s="7" t="s">
        <v>58</v>
      </c>
      <c r="K233" s="7" t="s">
        <v>439</v>
      </c>
      <c r="L233" s="12" t="str">
        <f>HYPERLINK("http://images.bloomingdales.com/is/image/BLM/9119230 ")</f>
        <v xml:space="preserve">http://images.bloomingdales.com/is/image/BLM/9119230 </v>
      </c>
      <c r="M233" s="13"/>
    </row>
    <row r="234" spans="1:13" ht="60" x14ac:dyDescent="0.25">
      <c r="A234" s="11" t="s">
        <v>528</v>
      </c>
      <c r="B234" s="7" t="s">
        <v>529</v>
      </c>
      <c r="C234" s="8">
        <v>1</v>
      </c>
      <c r="D234" s="9">
        <v>95</v>
      </c>
      <c r="E234" s="8" t="s">
        <v>530</v>
      </c>
      <c r="F234" s="7" t="s">
        <v>49</v>
      </c>
      <c r="G234" s="11" t="s">
        <v>531</v>
      </c>
      <c r="H234" s="7" t="s">
        <v>64</v>
      </c>
      <c r="I234" s="7" t="s">
        <v>438</v>
      </c>
      <c r="J234" s="7" t="s">
        <v>58</v>
      </c>
      <c r="K234" s="7" t="s">
        <v>527</v>
      </c>
      <c r="L234" s="12" t="str">
        <f>HYPERLINK("http://images.bloomingdales.com/is/image/BLM/9119230 ")</f>
        <v xml:space="preserve">http://images.bloomingdales.com/is/image/BLM/9119230 </v>
      </c>
      <c r="M234" s="13"/>
    </row>
    <row r="235" spans="1:13" ht="60" x14ac:dyDescent="0.25">
      <c r="A235" s="11" t="s">
        <v>524</v>
      </c>
      <c r="B235" s="7" t="s">
        <v>525</v>
      </c>
      <c r="C235" s="8">
        <v>10</v>
      </c>
      <c r="D235" s="9">
        <v>95</v>
      </c>
      <c r="E235" s="8" t="s">
        <v>526</v>
      </c>
      <c r="F235" s="7" t="s">
        <v>49</v>
      </c>
      <c r="G235" s="11" t="s">
        <v>260</v>
      </c>
      <c r="H235" s="7" t="s">
        <v>64</v>
      </c>
      <c r="I235" s="7" t="s">
        <v>438</v>
      </c>
      <c r="J235" s="7" t="s">
        <v>58</v>
      </c>
      <c r="K235" s="7" t="s">
        <v>527</v>
      </c>
      <c r="L235" s="12" t="str">
        <f>HYPERLINK("http://images.bloomingdales.com/is/image/BLM/9119230 ")</f>
        <v xml:space="preserve">http://images.bloomingdales.com/is/image/BLM/9119230 </v>
      </c>
      <c r="M235" s="13"/>
    </row>
    <row r="236" spans="1:13" ht="96" x14ac:dyDescent="0.25">
      <c r="A236" s="11" t="s">
        <v>996</v>
      </c>
      <c r="B236" s="7" t="s">
        <v>997</v>
      </c>
      <c r="C236" s="8">
        <v>1</v>
      </c>
      <c r="D236" s="9">
        <v>19.989999999999998</v>
      </c>
      <c r="E236" s="8" t="s">
        <v>998</v>
      </c>
      <c r="F236" s="7" t="s">
        <v>500</v>
      </c>
      <c r="G236" s="11"/>
      <c r="H236" s="7" t="s">
        <v>125</v>
      </c>
      <c r="I236" s="7" t="s">
        <v>80</v>
      </c>
      <c r="J236" s="7" t="s">
        <v>52</v>
      </c>
      <c r="K236" s="7" t="s">
        <v>999</v>
      </c>
      <c r="L236" s="12" t="str">
        <f>HYPERLINK("http://slimages.macys.com/is/image/MCY/9602366 ")</f>
        <v xml:space="preserve">http://slimages.macys.com/is/image/MCY/9602366 </v>
      </c>
      <c r="M236" s="13"/>
    </row>
    <row r="237" spans="1:13" ht="60" x14ac:dyDescent="0.25">
      <c r="A237" s="11" t="s">
        <v>587</v>
      </c>
      <c r="B237" s="7" t="s">
        <v>588</v>
      </c>
      <c r="C237" s="8">
        <v>1</v>
      </c>
      <c r="D237" s="9">
        <v>34.99</v>
      </c>
      <c r="E237" s="8" t="s">
        <v>589</v>
      </c>
      <c r="F237" s="7" t="s">
        <v>87</v>
      </c>
      <c r="G237" s="11" t="s">
        <v>585</v>
      </c>
      <c r="H237" s="7" t="s">
        <v>125</v>
      </c>
      <c r="I237" s="7" t="s">
        <v>80</v>
      </c>
      <c r="J237" s="7" t="s">
        <v>52</v>
      </c>
      <c r="K237" s="7" t="s">
        <v>590</v>
      </c>
      <c r="L237" s="12" t="str">
        <f>HYPERLINK("http://slimages.macys.com/is/image/MCY/3664922 ")</f>
        <v xml:space="preserve">http://slimages.macys.com/is/image/MCY/3664922 </v>
      </c>
      <c r="M237" s="13"/>
    </row>
    <row r="238" spans="1:13" ht="60" x14ac:dyDescent="0.25">
      <c r="A238" s="11" t="s">
        <v>587</v>
      </c>
      <c r="B238" s="7" t="s">
        <v>588</v>
      </c>
      <c r="C238" s="8">
        <v>1</v>
      </c>
      <c r="D238" s="9">
        <v>34.99</v>
      </c>
      <c r="E238" s="8" t="s">
        <v>589</v>
      </c>
      <c r="F238" s="7" t="s">
        <v>87</v>
      </c>
      <c r="G238" s="11" t="s">
        <v>585</v>
      </c>
      <c r="H238" s="7" t="s">
        <v>125</v>
      </c>
      <c r="I238" s="7" t="s">
        <v>80</v>
      </c>
      <c r="J238" s="7" t="s">
        <v>52</v>
      </c>
      <c r="K238" s="7" t="s">
        <v>590</v>
      </c>
      <c r="L238" s="12" t="str">
        <f>HYPERLINK("http://slimages.macys.com/is/image/MCY/3664922 ")</f>
        <v xml:space="preserve">http://slimages.macys.com/is/image/MCY/3664922 </v>
      </c>
      <c r="M238" s="13"/>
    </row>
    <row r="239" spans="1:13" ht="240" x14ac:dyDescent="0.25">
      <c r="A239" s="11" t="s">
        <v>242</v>
      </c>
      <c r="B239" s="7" t="s">
        <v>243</v>
      </c>
      <c r="C239" s="8">
        <v>1</v>
      </c>
      <c r="D239" s="9">
        <v>88.99</v>
      </c>
      <c r="E239" s="8" t="s">
        <v>244</v>
      </c>
      <c r="F239" s="7" t="s">
        <v>108</v>
      </c>
      <c r="G239" s="11"/>
      <c r="H239" s="7" t="s">
        <v>88</v>
      </c>
      <c r="I239" s="7" t="s">
        <v>80</v>
      </c>
      <c r="J239" s="7" t="s">
        <v>52</v>
      </c>
      <c r="K239" s="7" t="s">
        <v>245</v>
      </c>
      <c r="L239" s="12" t="str">
        <f>HYPERLINK("http://slimages.macys.com/is/image/MCY/9484911 ")</f>
        <v xml:space="preserve">http://slimages.macys.com/is/image/MCY/9484911 </v>
      </c>
      <c r="M239" s="13"/>
    </row>
    <row r="240" spans="1:13" ht="60" x14ac:dyDescent="0.25">
      <c r="A240" s="11" t="s">
        <v>1163</v>
      </c>
      <c r="B240" s="7" t="s">
        <v>1164</v>
      </c>
      <c r="C240" s="8">
        <v>2</v>
      </c>
      <c r="D240" s="9">
        <v>16.989999999999998</v>
      </c>
      <c r="E240" s="8" t="s">
        <v>1165</v>
      </c>
      <c r="F240" s="7" t="s">
        <v>108</v>
      </c>
      <c r="G240" s="11" t="s">
        <v>1166</v>
      </c>
      <c r="H240" s="7" t="s">
        <v>125</v>
      </c>
      <c r="I240" s="7" t="s">
        <v>80</v>
      </c>
      <c r="J240" s="7" t="s">
        <v>52</v>
      </c>
      <c r="K240" s="7"/>
      <c r="L240" s="12" t="str">
        <f>HYPERLINK("http://slimages.macys.com/is/image/MCY/9912605 ")</f>
        <v xml:space="preserve">http://slimages.macys.com/is/image/MCY/9912605 </v>
      </c>
      <c r="M240" s="13"/>
    </row>
    <row r="241" spans="1:13" ht="60" x14ac:dyDescent="0.25">
      <c r="A241" s="11" t="s">
        <v>285</v>
      </c>
      <c r="B241" s="7" t="s">
        <v>286</v>
      </c>
      <c r="C241" s="8">
        <v>1</v>
      </c>
      <c r="D241" s="9">
        <v>74.989999999999995</v>
      </c>
      <c r="E241" s="8" t="s">
        <v>287</v>
      </c>
      <c r="F241" s="7" t="s">
        <v>108</v>
      </c>
      <c r="G241" s="11"/>
      <c r="H241" s="7" t="s">
        <v>88</v>
      </c>
      <c r="I241" s="7" t="s">
        <v>80</v>
      </c>
      <c r="J241" s="7" t="s">
        <v>52</v>
      </c>
      <c r="K241" s="7" t="s">
        <v>288</v>
      </c>
      <c r="L241" s="12" t="str">
        <f>HYPERLINK("http://slimages.macys.com/is/image/MCY/9803580 ")</f>
        <v xml:space="preserve">http://slimages.macys.com/is/image/MCY/9803580 </v>
      </c>
      <c r="M241" s="13"/>
    </row>
    <row r="242" spans="1:13" ht="60" x14ac:dyDescent="0.25">
      <c r="A242" s="11" t="s">
        <v>532</v>
      </c>
      <c r="B242" s="7" t="s">
        <v>533</v>
      </c>
      <c r="C242" s="8">
        <v>1</v>
      </c>
      <c r="D242" s="9">
        <v>38.99</v>
      </c>
      <c r="E242" s="8" t="s">
        <v>534</v>
      </c>
      <c r="F242" s="7" t="s">
        <v>93</v>
      </c>
      <c r="G242" s="11"/>
      <c r="H242" s="7" t="s">
        <v>125</v>
      </c>
      <c r="I242" s="7" t="s">
        <v>80</v>
      </c>
      <c r="J242" s="7" t="s">
        <v>52</v>
      </c>
      <c r="K242" s="7"/>
      <c r="L242" s="12" t="str">
        <f>HYPERLINK("http://slimages.macys.com/is/image/MCY/9912812 ")</f>
        <v xml:space="preserve">http://slimages.macys.com/is/image/MCY/9912812 </v>
      </c>
      <c r="M242" s="13"/>
    </row>
    <row r="243" spans="1:13" ht="60" x14ac:dyDescent="0.25">
      <c r="A243" s="11" t="s">
        <v>46</v>
      </c>
      <c r="B243" s="7" t="s">
        <v>47</v>
      </c>
      <c r="C243" s="8">
        <v>1</v>
      </c>
      <c r="D243" s="9">
        <v>299.99</v>
      </c>
      <c r="E243" s="8" t="s">
        <v>48</v>
      </c>
      <c r="F243" s="7" t="s">
        <v>49</v>
      </c>
      <c r="G243" s="11"/>
      <c r="H243" s="7" t="s">
        <v>50</v>
      </c>
      <c r="I243" s="7" t="s">
        <v>51</v>
      </c>
      <c r="J243" s="7" t="s">
        <v>52</v>
      </c>
      <c r="K243" s="7"/>
      <c r="L243" s="12" t="str">
        <f>HYPERLINK("http://slimages.macys.com/is/image/MCY/8793864 ")</f>
        <v xml:space="preserve">http://slimages.macys.com/is/image/MCY/8793864 </v>
      </c>
      <c r="M243" s="13"/>
    </row>
    <row r="244" spans="1:13" ht="60" x14ac:dyDescent="0.25">
      <c r="A244" s="11" t="s">
        <v>554</v>
      </c>
      <c r="B244" s="7" t="s">
        <v>555</v>
      </c>
      <c r="C244" s="8">
        <v>1</v>
      </c>
      <c r="D244" s="9">
        <v>49.99</v>
      </c>
      <c r="E244" s="8" t="s">
        <v>556</v>
      </c>
      <c r="F244" s="7" t="s">
        <v>557</v>
      </c>
      <c r="G244" s="11"/>
      <c r="H244" s="7" t="s">
        <v>50</v>
      </c>
      <c r="I244" s="7" t="s">
        <v>51</v>
      </c>
      <c r="J244" s="7" t="s">
        <v>52</v>
      </c>
      <c r="K244" s="7" t="s">
        <v>121</v>
      </c>
      <c r="L244" s="12" t="str">
        <f>HYPERLINK("http://slimages.macys.com/is/image/MCY/2815828 ")</f>
        <v xml:space="preserve">http://slimages.macys.com/is/image/MCY/2815828 </v>
      </c>
      <c r="M244" s="13"/>
    </row>
    <row r="245" spans="1:13" ht="60" x14ac:dyDescent="0.25">
      <c r="A245" s="11" t="s">
        <v>117</v>
      </c>
      <c r="B245" s="7" t="s">
        <v>118</v>
      </c>
      <c r="C245" s="8">
        <v>1</v>
      </c>
      <c r="D245" s="9">
        <v>149.99</v>
      </c>
      <c r="E245" s="8" t="s">
        <v>119</v>
      </c>
      <c r="F245" s="7" t="s">
        <v>120</v>
      </c>
      <c r="G245" s="11"/>
      <c r="H245" s="7" t="s">
        <v>50</v>
      </c>
      <c r="I245" s="7" t="s">
        <v>51</v>
      </c>
      <c r="J245" s="7" t="s">
        <v>52</v>
      </c>
      <c r="K245" s="7" t="s">
        <v>121</v>
      </c>
      <c r="L245" s="12" t="str">
        <f>HYPERLINK("http://slimages.macys.com/is/image/MCY/9312571 ")</f>
        <v xml:space="preserve">http://slimages.macys.com/is/image/MCY/9312571 </v>
      </c>
      <c r="M245" s="13"/>
    </row>
    <row r="246" spans="1:13" ht="324" x14ac:dyDescent="0.25">
      <c r="A246" s="11" t="s">
        <v>1183</v>
      </c>
      <c r="B246" s="7" t="s">
        <v>1184</v>
      </c>
      <c r="C246" s="8">
        <v>1</v>
      </c>
      <c r="D246" s="9">
        <v>13</v>
      </c>
      <c r="E246" s="8" t="s">
        <v>1185</v>
      </c>
      <c r="F246" s="7" t="s">
        <v>93</v>
      </c>
      <c r="G246" s="11" t="s">
        <v>269</v>
      </c>
      <c r="H246" s="7" t="s">
        <v>33</v>
      </c>
      <c r="I246" s="7" t="s">
        <v>1186</v>
      </c>
      <c r="J246" s="7" t="s">
        <v>132</v>
      </c>
      <c r="K246" s="7" t="s">
        <v>1187</v>
      </c>
      <c r="L246" s="12" t="str">
        <f>HYPERLINK("http://images.bloomingdales.com/is/image/BLM/9180047 ")</f>
        <v xml:space="preserve">http://images.bloomingdales.com/is/image/BLM/9180047 </v>
      </c>
      <c r="M246" s="13"/>
    </row>
    <row r="247" spans="1:13" ht="48" x14ac:dyDescent="0.25">
      <c r="A247" s="11" t="s">
        <v>1421</v>
      </c>
      <c r="B247" s="7" t="s">
        <v>1422</v>
      </c>
      <c r="C247" s="8">
        <v>1</v>
      </c>
      <c r="D247" s="9">
        <v>67.989999999999995</v>
      </c>
      <c r="E247" s="8" t="s">
        <v>1423</v>
      </c>
      <c r="F247" s="7" t="s">
        <v>217</v>
      </c>
      <c r="G247" s="11"/>
      <c r="H247" s="7" t="s">
        <v>88</v>
      </c>
      <c r="I247" s="7" t="s">
        <v>1424</v>
      </c>
      <c r="J247" s="7"/>
      <c r="K247" s="7"/>
      <c r="L247" s="12"/>
      <c r="M247" s="13"/>
    </row>
    <row r="248" spans="1:13" ht="60" x14ac:dyDescent="0.25">
      <c r="A248" s="11" t="s">
        <v>977</v>
      </c>
      <c r="B248" s="7" t="s">
        <v>978</v>
      </c>
      <c r="C248" s="8">
        <v>1</v>
      </c>
      <c r="D248" s="9">
        <v>36.99</v>
      </c>
      <c r="E248" s="8" t="s">
        <v>979</v>
      </c>
      <c r="F248" s="7" t="s">
        <v>108</v>
      </c>
      <c r="G248" s="11"/>
      <c r="H248" s="7" t="s">
        <v>88</v>
      </c>
      <c r="I248" s="7" t="s">
        <v>80</v>
      </c>
      <c r="J248" s="7" t="s">
        <v>52</v>
      </c>
      <c r="K248" s="7" t="s">
        <v>980</v>
      </c>
      <c r="L248" s="12" t="str">
        <f>HYPERLINK("http://slimages.macys.com/is/image/MCY/12493553 ")</f>
        <v xml:space="preserve">http://slimages.macys.com/is/image/MCY/12493553 </v>
      </c>
      <c r="M248" s="13"/>
    </row>
    <row r="249" spans="1:13" ht="60" x14ac:dyDescent="0.25">
      <c r="A249" s="11" t="s">
        <v>875</v>
      </c>
      <c r="B249" s="7" t="s">
        <v>876</v>
      </c>
      <c r="C249" s="8">
        <v>1</v>
      </c>
      <c r="D249" s="9">
        <v>34.99</v>
      </c>
      <c r="E249" s="8" t="s">
        <v>877</v>
      </c>
      <c r="F249" s="7" t="s">
        <v>120</v>
      </c>
      <c r="G249" s="11"/>
      <c r="H249" s="7" t="s">
        <v>427</v>
      </c>
      <c r="I249" s="7" t="s">
        <v>80</v>
      </c>
      <c r="J249" s="7"/>
      <c r="K249" s="7"/>
      <c r="L249" s="12" t="str">
        <f>HYPERLINK("http://slimages.macys.com/is/image/MCY/16808109 ")</f>
        <v xml:space="preserve">http://slimages.macys.com/is/image/MCY/16808109 </v>
      </c>
      <c r="M249" s="13"/>
    </row>
    <row r="250" spans="1:13" ht="168" x14ac:dyDescent="0.25">
      <c r="A250" s="11" t="s">
        <v>134</v>
      </c>
      <c r="B250" s="7" t="s">
        <v>135</v>
      </c>
      <c r="C250" s="8">
        <v>1</v>
      </c>
      <c r="D250" s="9">
        <v>80.989999999999995</v>
      </c>
      <c r="E250" s="8" t="s">
        <v>136</v>
      </c>
      <c r="F250" s="7" t="s">
        <v>108</v>
      </c>
      <c r="G250" s="11"/>
      <c r="H250" s="7" t="s">
        <v>88</v>
      </c>
      <c r="I250" s="7" t="s">
        <v>80</v>
      </c>
      <c r="J250" s="7" t="s">
        <v>52</v>
      </c>
      <c r="K250" s="7" t="s">
        <v>137</v>
      </c>
      <c r="L250" s="12" t="str">
        <f>HYPERLINK("http://slimages.macys.com/is/image/MCY/10389957 ")</f>
        <v xml:space="preserve">http://slimages.macys.com/is/image/MCY/10389957 </v>
      </c>
      <c r="M250" s="13"/>
    </row>
    <row r="251" spans="1:13" ht="60" x14ac:dyDescent="0.25">
      <c r="A251" s="11" t="s">
        <v>565</v>
      </c>
      <c r="B251" s="7" t="s">
        <v>566</v>
      </c>
      <c r="C251" s="8">
        <v>1</v>
      </c>
      <c r="D251" s="9">
        <v>39.99</v>
      </c>
      <c r="E251" s="8" t="s">
        <v>567</v>
      </c>
      <c r="F251" s="7" t="s">
        <v>49</v>
      </c>
      <c r="G251" s="11" t="s">
        <v>568</v>
      </c>
      <c r="H251" s="7" t="s">
        <v>70</v>
      </c>
      <c r="I251" s="7" t="s">
        <v>569</v>
      </c>
      <c r="J251" s="7" t="s">
        <v>52</v>
      </c>
      <c r="K251" s="7" t="s">
        <v>570</v>
      </c>
      <c r="L251" s="12" t="str">
        <f>HYPERLINK("http://slimages.macys.com/is/image/MCY/9950605 ")</f>
        <v xml:space="preserve">http://slimages.macys.com/is/image/MCY/9950605 </v>
      </c>
      <c r="M251" s="13"/>
    </row>
    <row r="252" spans="1:13" ht="60" x14ac:dyDescent="0.25">
      <c r="A252" s="11" t="s">
        <v>712</v>
      </c>
      <c r="B252" s="7" t="s">
        <v>713</v>
      </c>
      <c r="C252" s="8">
        <v>1</v>
      </c>
      <c r="D252" s="9">
        <v>74.989999999999995</v>
      </c>
      <c r="E252" s="8" t="s">
        <v>714</v>
      </c>
      <c r="F252" s="7" t="s">
        <v>108</v>
      </c>
      <c r="G252" s="11"/>
      <c r="H252" s="7" t="s">
        <v>64</v>
      </c>
      <c r="I252" s="7" t="s">
        <v>715</v>
      </c>
      <c r="J252" s="7" t="s">
        <v>716</v>
      </c>
      <c r="K252" s="7" t="s">
        <v>59</v>
      </c>
      <c r="L252" s="12" t="str">
        <f>HYPERLINK("http://images.bloomingdales.com/is/image/BLM/9088359 ")</f>
        <v xml:space="preserve">http://images.bloomingdales.com/is/image/BLM/9088359 </v>
      </c>
      <c r="M252" s="13"/>
    </row>
    <row r="253" spans="1:13" ht="60" x14ac:dyDescent="0.25">
      <c r="A253" s="11" t="s">
        <v>1152</v>
      </c>
      <c r="B253" s="7" t="s">
        <v>1153</v>
      </c>
      <c r="C253" s="8">
        <v>1</v>
      </c>
      <c r="D253" s="9">
        <v>22.99</v>
      </c>
      <c r="E253" s="8" t="s">
        <v>1154</v>
      </c>
      <c r="F253" s="7" t="s">
        <v>167</v>
      </c>
      <c r="G253" s="11"/>
      <c r="H253" s="7" t="s">
        <v>125</v>
      </c>
      <c r="I253" s="7" t="s">
        <v>578</v>
      </c>
      <c r="J253" s="7" t="s">
        <v>52</v>
      </c>
      <c r="K253" s="7" t="s">
        <v>147</v>
      </c>
      <c r="L253" s="12" t="str">
        <f>HYPERLINK("http://slimages.macys.com/is/image/MCY/15863002 ")</f>
        <v xml:space="preserve">http://slimages.macys.com/is/image/MCY/15863002 </v>
      </c>
      <c r="M253" s="13"/>
    </row>
    <row r="254" spans="1:13" ht="72" x14ac:dyDescent="0.25">
      <c r="A254" s="11" t="s">
        <v>1452</v>
      </c>
      <c r="B254" s="7" t="s">
        <v>1453</v>
      </c>
      <c r="C254" s="8">
        <v>6</v>
      </c>
      <c r="D254" s="9">
        <v>11.99</v>
      </c>
      <c r="E254" s="8" t="s">
        <v>1454</v>
      </c>
      <c r="F254" s="7" t="s">
        <v>268</v>
      </c>
      <c r="G254" s="11" t="s">
        <v>797</v>
      </c>
      <c r="H254" s="7" t="s">
        <v>720</v>
      </c>
      <c r="I254" s="7" t="s">
        <v>1455</v>
      </c>
      <c r="J254" s="7"/>
      <c r="K254" s="7"/>
      <c r="L254" s="12"/>
      <c r="M254" s="13"/>
    </row>
    <row r="255" spans="1:13" ht="72" x14ac:dyDescent="0.25">
      <c r="A255" s="11" t="s">
        <v>1456</v>
      </c>
      <c r="B255" s="7" t="s">
        <v>1457</v>
      </c>
      <c r="C255" s="8">
        <v>1</v>
      </c>
      <c r="D255" s="9">
        <v>11.99</v>
      </c>
      <c r="E255" s="8" t="s">
        <v>1458</v>
      </c>
      <c r="F255" s="7" t="s">
        <v>43</v>
      </c>
      <c r="G255" s="11" t="s">
        <v>797</v>
      </c>
      <c r="H255" s="7" t="s">
        <v>720</v>
      </c>
      <c r="I255" s="7" t="s">
        <v>1455</v>
      </c>
      <c r="J255" s="7"/>
      <c r="K255" s="7"/>
      <c r="L255" s="12"/>
      <c r="M255" s="13"/>
    </row>
    <row r="256" spans="1:13" ht="60" x14ac:dyDescent="0.25">
      <c r="A256" s="11" t="s">
        <v>827</v>
      </c>
      <c r="B256" s="7" t="s">
        <v>828</v>
      </c>
      <c r="C256" s="8">
        <v>1</v>
      </c>
      <c r="D256" s="9">
        <v>29.99</v>
      </c>
      <c r="E256" s="8" t="s">
        <v>829</v>
      </c>
      <c r="F256" s="7" t="s">
        <v>49</v>
      </c>
      <c r="G256" s="11"/>
      <c r="H256" s="7" t="s">
        <v>369</v>
      </c>
      <c r="I256" s="7" t="s">
        <v>826</v>
      </c>
      <c r="J256" s="7"/>
      <c r="K256" s="7"/>
      <c r="L256" s="12" t="str">
        <f>HYPERLINK("http://slimages.macys.com/is/image/MCY/18703132 ")</f>
        <v xml:space="preserve">http://slimages.macys.com/is/image/MCY/18703132 </v>
      </c>
      <c r="M256" s="13"/>
    </row>
    <row r="257" spans="1:13" ht="60" x14ac:dyDescent="0.25">
      <c r="A257" s="11" t="s">
        <v>823</v>
      </c>
      <c r="B257" s="7" t="s">
        <v>824</v>
      </c>
      <c r="C257" s="8">
        <v>1</v>
      </c>
      <c r="D257" s="9">
        <v>29.99</v>
      </c>
      <c r="E257" s="8" t="s">
        <v>825</v>
      </c>
      <c r="F257" s="7" t="s">
        <v>49</v>
      </c>
      <c r="G257" s="11"/>
      <c r="H257" s="7" t="s">
        <v>369</v>
      </c>
      <c r="I257" s="7" t="s">
        <v>826</v>
      </c>
      <c r="J257" s="7"/>
      <c r="K257" s="7"/>
      <c r="L257" s="12" t="str">
        <f>HYPERLINK("http://slimages.macys.com/is/image/MCY/18703112 ")</f>
        <v xml:space="preserve">http://slimages.macys.com/is/image/MCY/18703112 </v>
      </c>
      <c r="M257" s="13"/>
    </row>
    <row r="258" spans="1:13" ht="60" x14ac:dyDescent="0.25">
      <c r="A258" s="11" t="s">
        <v>1326</v>
      </c>
      <c r="B258" s="7" t="s">
        <v>1327</v>
      </c>
      <c r="C258" s="8">
        <v>1</v>
      </c>
      <c r="D258" s="9">
        <v>10.99</v>
      </c>
      <c r="E258" s="8" t="s">
        <v>1328</v>
      </c>
      <c r="F258" s="7"/>
      <c r="G258" s="11" t="s">
        <v>1150</v>
      </c>
      <c r="H258" s="7" t="s">
        <v>720</v>
      </c>
      <c r="I258" s="7" t="s">
        <v>617</v>
      </c>
      <c r="J258" s="7" t="s">
        <v>52</v>
      </c>
      <c r="K258" s="7" t="s">
        <v>1329</v>
      </c>
      <c r="L258" s="12" t="str">
        <f>HYPERLINK("http://slimages.macys.com/is/image/MCY/15008188 ")</f>
        <v xml:space="preserve">http://slimages.macys.com/is/image/MCY/15008188 </v>
      </c>
      <c r="M258" s="13"/>
    </row>
    <row r="259" spans="1:13" ht="60" x14ac:dyDescent="0.25">
      <c r="A259" s="11" t="s">
        <v>614</v>
      </c>
      <c r="B259" s="7" t="s">
        <v>615</v>
      </c>
      <c r="C259" s="8">
        <v>1</v>
      </c>
      <c r="D259" s="9">
        <v>49.99</v>
      </c>
      <c r="E259" s="8">
        <v>16718138</v>
      </c>
      <c r="F259" s="7" t="s">
        <v>616</v>
      </c>
      <c r="G259" s="11"/>
      <c r="H259" s="7" t="s">
        <v>98</v>
      </c>
      <c r="I259" s="7" t="s">
        <v>617</v>
      </c>
      <c r="J259" s="7" t="s">
        <v>52</v>
      </c>
      <c r="K259" s="7" t="s">
        <v>618</v>
      </c>
      <c r="L259" s="12" t="str">
        <f>HYPERLINK("http://slimages.macys.com/is/image/MCY/3073694 ")</f>
        <v xml:space="preserve">http://slimages.macys.com/is/image/MCY/3073694 </v>
      </c>
      <c r="M259" s="13"/>
    </row>
    <row r="260" spans="1:13" ht="60" x14ac:dyDescent="0.25">
      <c r="A260" s="11" t="s">
        <v>790</v>
      </c>
      <c r="B260" s="7" t="s">
        <v>791</v>
      </c>
      <c r="C260" s="8">
        <v>1</v>
      </c>
      <c r="D260" s="9">
        <v>39.99</v>
      </c>
      <c r="E260" s="8">
        <v>16718038</v>
      </c>
      <c r="F260" s="7" t="s">
        <v>616</v>
      </c>
      <c r="G260" s="11"/>
      <c r="H260" s="7" t="s">
        <v>98</v>
      </c>
      <c r="I260" s="7" t="s">
        <v>617</v>
      </c>
      <c r="J260" s="7" t="s">
        <v>52</v>
      </c>
      <c r="K260" s="7" t="s">
        <v>618</v>
      </c>
      <c r="L260" s="12" t="str">
        <f>HYPERLINK("http://slimages.macys.com/is/image/MCY/3073694 ")</f>
        <v xml:space="preserve">http://slimages.macys.com/is/image/MCY/3073694 </v>
      </c>
      <c r="M260" s="13"/>
    </row>
    <row r="261" spans="1:13" ht="60" x14ac:dyDescent="0.25">
      <c r="A261" s="11" t="s">
        <v>1014</v>
      </c>
      <c r="B261" s="7" t="s">
        <v>1015</v>
      </c>
      <c r="C261" s="8">
        <v>1</v>
      </c>
      <c r="D261" s="9">
        <v>24.99</v>
      </c>
      <c r="E261" s="8" t="s">
        <v>1016</v>
      </c>
      <c r="F261" s="7" t="s">
        <v>87</v>
      </c>
      <c r="G261" s="11" t="s">
        <v>846</v>
      </c>
      <c r="H261" s="7" t="s">
        <v>125</v>
      </c>
      <c r="I261" s="7" t="s">
        <v>817</v>
      </c>
      <c r="J261" s="7"/>
      <c r="K261" s="7"/>
      <c r="L261" s="12" t="str">
        <f>HYPERLINK("http://slimages.macys.com/is/image/MCY/18173334 ")</f>
        <v xml:space="preserve">http://slimages.macys.com/is/image/MCY/18173334 </v>
      </c>
      <c r="M261" s="13"/>
    </row>
    <row r="262" spans="1:13" ht="36" x14ac:dyDescent="0.25">
      <c r="A262" s="11" t="s">
        <v>1443</v>
      </c>
      <c r="B262" s="7" t="s">
        <v>1444</v>
      </c>
      <c r="C262" s="8">
        <v>4</v>
      </c>
      <c r="D262" s="9">
        <v>24.99</v>
      </c>
      <c r="E262" s="8" t="s">
        <v>1445</v>
      </c>
      <c r="F262" s="7" t="s">
        <v>171</v>
      </c>
      <c r="G262" s="11" t="s">
        <v>846</v>
      </c>
      <c r="H262" s="7" t="s">
        <v>125</v>
      </c>
      <c r="I262" s="7" t="s">
        <v>817</v>
      </c>
      <c r="J262" s="7"/>
      <c r="K262" s="7"/>
      <c r="L262" s="12"/>
      <c r="M262" s="13"/>
    </row>
    <row r="263" spans="1:13" ht="60" x14ac:dyDescent="0.25">
      <c r="A263" s="11" t="s">
        <v>1124</v>
      </c>
      <c r="B263" s="7" t="s">
        <v>1125</v>
      </c>
      <c r="C263" s="8">
        <v>1</v>
      </c>
      <c r="D263" s="9">
        <v>19.989999999999998</v>
      </c>
      <c r="E263" s="8" t="s">
        <v>1126</v>
      </c>
      <c r="F263" s="7"/>
      <c r="G263" s="11"/>
      <c r="H263" s="7" t="s">
        <v>125</v>
      </c>
      <c r="I263" s="7" t="s">
        <v>817</v>
      </c>
      <c r="J263" s="7"/>
      <c r="K263" s="7"/>
      <c r="L263" s="12" t="str">
        <f>HYPERLINK("http://slimages.macys.com/is/image/MCY/18173333 ")</f>
        <v xml:space="preserve">http://slimages.macys.com/is/image/MCY/18173333 </v>
      </c>
      <c r="M263" s="13"/>
    </row>
    <row r="264" spans="1:13" ht="60" x14ac:dyDescent="0.25">
      <c r="A264" s="11" t="s">
        <v>1000</v>
      </c>
      <c r="B264" s="7" t="s">
        <v>1001</v>
      </c>
      <c r="C264" s="8">
        <v>1</v>
      </c>
      <c r="D264" s="9">
        <v>24.99</v>
      </c>
      <c r="E264" s="8" t="s">
        <v>1002</v>
      </c>
      <c r="F264" s="7"/>
      <c r="G264" s="11"/>
      <c r="H264" s="7" t="s">
        <v>125</v>
      </c>
      <c r="I264" s="7" t="s">
        <v>817</v>
      </c>
      <c r="J264" s="7"/>
      <c r="K264" s="7"/>
      <c r="L264" s="12" t="str">
        <f>HYPERLINK("http://slimages.macys.com/is/image/MCY/18173336 ")</f>
        <v xml:space="preserve">http://slimages.macys.com/is/image/MCY/18173336 </v>
      </c>
      <c r="M264" s="13"/>
    </row>
    <row r="265" spans="1:13" ht="60" x14ac:dyDescent="0.25">
      <c r="A265" s="11" t="s">
        <v>1000</v>
      </c>
      <c r="B265" s="7" t="s">
        <v>1001</v>
      </c>
      <c r="C265" s="8">
        <v>1</v>
      </c>
      <c r="D265" s="9">
        <v>24.99</v>
      </c>
      <c r="E265" s="8" t="s">
        <v>1002</v>
      </c>
      <c r="F265" s="7"/>
      <c r="G265" s="11"/>
      <c r="H265" s="7" t="s">
        <v>125</v>
      </c>
      <c r="I265" s="7" t="s">
        <v>817</v>
      </c>
      <c r="J265" s="7"/>
      <c r="K265" s="7"/>
      <c r="L265" s="12" t="str">
        <f>HYPERLINK("http://slimages.macys.com/is/image/MCY/18173336 ")</f>
        <v xml:space="preserve">http://slimages.macys.com/is/image/MCY/18173336 </v>
      </c>
      <c r="M265" s="13"/>
    </row>
    <row r="266" spans="1:13" ht="60" x14ac:dyDescent="0.25">
      <c r="A266" s="11" t="s">
        <v>1011</v>
      </c>
      <c r="B266" s="7" t="s">
        <v>1012</v>
      </c>
      <c r="C266" s="8">
        <v>1</v>
      </c>
      <c r="D266" s="9">
        <v>24.99</v>
      </c>
      <c r="E266" s="8" t="s">
        <v>1013</v>
      </c>
      <c r="F266" s="7"/>
      <c r="G266" s="11"/>
      <c r="H266" s="7" t="s">
        <v>125</v>
      </c>
      <c r="I266" s="7" t="s">
        <v>817</v>
      </c>
      <c r="J266" s="7"/>
      <c r="K266" s="7"/>
      <c r="L266" s="12" t="str">
        <f>HYPERLINK("http://slimages.macys.com/is/image/MCY/18173368 ")</f>
        <v xml:space="preserve">http://slimages.macys.com/is/image/MCY/18173368 </v>
      </c>
      <c r="M266" s="13"/>
    </row>
    <row r="267" spans="1:13" ht="60" x14ac:dyDescent="0.25">
      <c r="A267" s="11" t="s">
        <v>1011</v>
      </c>
      <c r="B267" s="7" t="s">
        <v>1012</v>
      </c>
      <c r="C267" s="8">
        <v>1</v>
      </c>
      <c r="D267" s="9">
        <v>24.99</v>
      </c>
      <c r="E267" s="8" t="s">
        <v>1013</v>
      </c>
      <c r="F267" s="7"/>
      <c r="G267" s="11"/>
      <c r="H267" s="7" t="s">
        <v>125</v>
      </c>
      <c r="I267" s="7" t="s">
        <v>817</v>
      </c>
      <c r="J267" s="7"/>
      <c r="K267" s="7"/>
      <c r="L267" s="12" t="str">
        <f>HYPERLINK("http://slimages.macys.com/is/image/MCY/18173368 ")</f>
        <v xml:space="preserve">http://slimages.macys.com/is/image/MCY/18173368 </v>
      </c>
      <c r="M267" s="13"/>
    </row>
    <row r="268" spans="1:13" ht="60" x14ac:dyDescent="0.25">
      <c r="A268" s="11" t="s">
        <v>1241</v>
      </c>
      <c r="B268" s="7" t="s">
        <v>1242</v>
      </c>
      <c r="C268" s="8">
        <v>2</v>
      </c>
      <c r="D268" s="9">
        <v>12.99</v>
      </c>
      <c r="E268" s="8" t="s">
        <v>1243</v>
      </c>
      <c r="F268" s="7" t="s">
        <v>108</v>
      </c>
      <c r="G268" s="11"/>
      <c r="H268" s="7" t="s">
        <v>125</v>
      </c>
      <c r="I268" s="7" t="s">
        <v>817</v>
      </c>
      <c r="J268" s="7" t="s">
        <v>52</v>
      </c>
      <c r="K268" s="7" t="s">
        <v>121</v>
      </c>
      <c r="L268" s="12" t="str">
        <f>HYPERLINK("http://slimages.macys.com/is/image/MCY/16008398 ")</f>
        <v xml:space="preserve">http://slimages.macys.com/is/image/MCY/16008398 </v>
      </c>
      <c r="M268" s="13"/>
    </row>
    <row r="269" spans="1:13" ht="60" x14ac:dyDescent="0.25">
      <c r="A269" s="11" t="s">
        <v>1121</v>
      </c>
      <c r="B269" s="7" t="s">
        <v>1122</v>
      </c>
      <c r="C269" s="8">
        <v>3</v>
      </c>
      <c r="D269" s="9">
        <v>19.989999999999998</v>
      </c>
      <c r="E269" s="8" t="s">
        <v>1123</v>
      </c>
      <c r="F269" s="7" t="s">
        <v>751</v>
      </c>
      <c r="G269" s="11"/>
      <c r="H269" s="7" t="s">
        <v>125</v>
      </c>
      <c r="I269" s="7" t="s">
        <v>817</v>
      </c>
      <c r="J269" s="7"/>
      <c r="K269" s="7"/>
      <c r="L269" s="12" t="str">
        <f>HYPERLINK("http://slimages.macys.com/is/image/MCY/18173361 ")</f>
        <v xml:space="preserve">http://slimages.macys.com/is/image/MCY/18173361 </v>
      </c>
      <c r="M269" s="13"/>
    </row>
    <row r="270" spans="1:13" ht="60" x14ac:dyDescent="0.25">
      <c r="A270" s="11" t="s">
        <v>814</v>
      </c>
      <c r="B270" s="7" t="s">
        <v>815</v>
      </c>
      <c r="C270" s="8">
        <v>1</v>
      </c>
      <c r="D270" s="9">
        <v>29.99</v>
      </c>
      <c r="E270" s="8" t="s">
        <v>816</v>
      </c>
      <c r="F270" s="7" t="s">
        <v>108</v>
      </c>
      <c r="G270" s="11"/>
      <c r="H270" s="7" t="s">
        <v>125</v>
      </c>
      <c r="I270" s="7" t="s">
        <v>817</v>
      </c>
      <c r="J270" s="7"/>
      <c r="K270" s="7"/>
      <c r="L270" s="12" t="str">
        <f>HYPERLINK("http://slimages.macys.com/is/image/MCY/17566502 ")</f>
        <v xml:space="preserve">http://slimages.macys.com/is/image/MCY/17566502 </v>
      </c>
      <c r="M270" s="13"/>
    </row>
    <row r="271" spans="1:13" ht="24" x14ac:dyDescent="0.25">
      <c r="A271" s="11" t="s">
        <v>1417</v>
      </c>
      <c r="B271" s="7" t="s">
        <v>1418</v>
      </c>
      <c r="C271" s="8">
        <v>1</v>
      </c>
      <c r="D271" s="9">
        <v>79.989999999999995</v>
      </c>
      <c r="E271" s="8" t="s">
        <v>1419</v>
      </c>
      <c r="F271" s="7" t="s">
        <v>217</v>
      </c>
      <c r="G271" s="11"/>
      <c r="H271" s="7" t="s">
        <v>125</v>
      </c>
      <c r="I271" s="7" t="s">
        <v>1420</v>
      </c>
      <c r="J271" s="7"/>
      <c r="K271" s="7"/>
      <c r="L271" s="12"/>
      <c r="M271" s="13"/>
    </row>
    <row r="272" spans="1:13" ht="60" x14ac:dyDescent="0.25">
      <c r="A272" s="11" t="s">
        <v>246</v>
      </c>
      <c r="B272" s="7" t="s">
        <v>247</v>
      </c>
      <c r="C272" s="8">
        <v>1</v>
      </c>
      <c r="D272" s="9">
        <v>129.99</v>
      </c>
      <c r="E272" s="8" t="s">
        <v>248</v>
      </c>
      <c r="F272" s="7" t="s">
        <v>249</v>
      </c>
      <c r="G272" s="11"/>
      <c r="H272" s="7" t="s">
        <v>50</v>
      </c>
      <c r="I272" s="7" t="s">
        <v>250</v>
      </c>
      <c r="J272" s="7" t="s">
        <v>52</v>
      </c>
      <c r="K272" s="7" t="s">
        <v>59</v>
      </c>
      <c r="L272" s="12" t="str">
        <f>HYPERLINK("http://slimages.macys.com/is/image/MCY/12751963 ")</f>
        <v xml:space="preserve">http://slimages.macys.com/is/image/MCY/12751963 </v>
      </c>
      <c r="M272" s="13"/>
    </row>
    <row r="273" spans="1:13" ht="60" x14ac:dyDescent="0.25">
      <c r="A273" s="11" t="s">
        <v>404</v>
      </c>
      <c r="B273" s="7" t="s">
        <v>405</v>
      </c>
      <c r="C273" s="8">
        <v>1</v>
      </c>
      <c r="D273" s="9">
        <v>78.989999999999995</v>
      </c>
      <c r="E273" s="8" t="s">
        <v>406</v>
      </c>
      <c r="F273" s="7" t="s">
        <v>43</v>
      </c>
      <c r="G273" s="11" t="s">
        <v>407</v>
      </c>
      <c r="H273" s="7" t="s">
        <v>125</v>
      </c>
      <c r="I273" s="7" t="s">
        <v>408</v>
      </c>
      <c r="J273" s="7"/>
      <c r="K273" s="7"/>
      <c r="L273" s="12" t="str">
        <f>HYPERLINK("http://slimages.macys.com/is/image/MCY/17116059 ")</f>
        <v xml:space="preserve">http://slimages.macys.com/is/image/MCY/17116059 </v>
      </c>
      <c r="M273" s="13"/>
    </row>
    <row r="274" spans="1:13" ht="60" x14ac:dyDescent="0.25">
      <c r="A274" s="11" t="s">
        <v>1314</v>
      </c>
      <c r="B274" s="7" t="s">
        <v>1315</v>
      </c>
      <c r="C274" s="8">
        <v>4</v>
      </c>
      <c r="D274" s="9">
        <v>7.99</v>
      </c>
      <c r="E274" s="8">
        <v>601555468021</v>
      </c>
      <c r="F274" s="7" t="s">
        <v>43</v>
      </c>
      <c r="G274" s="11" t="s">
        <v>1316</v>
      </c>
      <c r="H274" s="7" t="s">
        <v>720</v>
      </c>
      <c r="I274" s="7" t="s">
        <v>57</v>
      </c>
      <c r="J274" s="7" t="s">
        <v>52</v>
      </c>
      <c r="K274" s="7" t="s">
        <v>59</v>
      </c>
      <c r="L274" s="12" t="str">
        <f>HYPERLINK("http://slimages.macys.com/is/image/MCY/2844654 ")</f>
        <v xml:space="preserve">http://slimages.macys.com/is/image/MCY/2844654 </v>
      </c>
      <c r="M274" s="13"/>
    </row>
    <row r="275" spans="1:13" ht="60" x14ac:dyDescent="0.25">
      <c r="A275" s="11" t="s">
        <v>658</v>
      </c>
      <c r="B275" s="7" t="s">
        <v>659</v>
      </c>
      <c r="C275" s="8">
        <v>1</v>
      </c>
      <c r="D275" s="9">
        <v>39.99</v>
      </c>
      <c r="E275" s="8" t="s">
        <v>660</v>
      </c>
      <c r="F275" s="7" t="s">
        <v>120</v>
      </c>
      <c r="G275" s="11" t="s">
        <v>585</v>
      </c>
      <c r="H275" s="7" t="s">
        <v>125</v>
      </c>
      <c r="I275" s="7" t="s">
        <v>652</v>
      </c>
      <c r="J275" s="7"/>
      <c r="K275" s="7"/>
      <c r="L275" s="12" t="str">
        <f>HYPERLINK("http://slimages.macys.com/is/image/MCY/17220631 ")</f>
        <v xml:space="preserve">http://slimages.macys.com/is/image/MCY/17220631 </v>
      </c>
      <c r="M275" s="13"/>
    </row>
    <row r="276" spans="1:13" ht="60" x14ac:dyDescent="0.25">
      <c r="A276" s="11" t="s">
        <v>649</v>
      </c>
      <c r="B276" s="7" t="s">
        <v>650</v>
      </c>
      <c r="C276" s="8">
        <v>1</v>
      </c>
      <c r="D276" s="9">
        <v>39.99</v>
      </c>
      <c r="E276" s="8" t="s">
        <v>651</v>
      </c>
      <c r="F276" s="7" t="s">
        <v>108</v>
      </c>
      <c r="G276" s="11" t="s">
        <v>585</v>
      </c>
      <c r="H276" s="7" t="s">
        <v>125</v>
      </c>
      <c r="I276" s="7" t="s">
        <v>652</v>
      </c>
      <c r="J276" s="7"/>
      <c r="K276" s="7"/>
      <c r="L276" s="12" t="str">
        <f>HYPERLINK("http://slimages.macys.com/is/image/MCY/17220709 ")</f>
        <v xml:space="preserve">http://slimages.macys.com/is/image/MCY/17220709 </v>
      </c>
      <c r="M276" s="13"/>
    </row>
    <row r="277" spans="1:13" ht="24" x14ac:dyDescent="0.25">
      <c r="A277" s="11" t="s">
        <v>1411</v>
      </c>
      <c r="B277" s="7" t="s">
        <v>1412</v>
      </c>
      <c r="C277" s="8">
        <v>1</v>
      </c>
      <c r="D277" s="9">
        <v>52.03</v>
      </c>
      <c r="E277" s="8" t="s">
        <v>1413</v>
      </c>
      <c r="F277" s="7" t="s">
        <v>93</v>
      </c>
      <c r="G277" s="11"/>
      <c r="H277" s="7" t="s">
        <v>88</v>
      </c>
      <c r="I277" s="7" t="s">
        <v>203</v>
      </c>
      <c r="J277" s="7"/>
      <c r="K277" s="7"/>
      <c r="L277" s="12"/>
      <c r="M277" s="13"/>
    </row>
    <row r="278" spans="1:13" ht="24" x14ac:dyDescent="0.25">
      <c r="A278" s="11" t="s">
        <v>1437</v>
      </c>
      <c r="B278" s="7" t="s">
        <v>1438</v>
      </c>
      <c r="C278" s="8">
        <v>1</v>
      </c>
      <c r="D278" s="9">
        <v>34.99</v>
      </c>
      <c r="E278" s="8" t="s">
        <v>1439</v>
      </c>
      <c r="F278" s="7" t="s">
        <v>202</v>
      </c>
      <c r="G278" s="11"/>
      <c r="H278" s="7" t="s">
        <v>125</v>
      </c>
      <c r="I278" s="7" t="s">
        <v>203</v>
      </c>
      <c r="J278" s="7"/>
      <c r="K278" s="7"/>
      <c r="L278" s="12"/>
      <c r="M278" s="13"/>
    </row>
    <row r="279" spans="1:13" ht="60" x14ac:dyDescent="0.25">
      <c r="A279" s="11" t="s">
        <v>981</v>
      </c>
      <c r="B279" s="7" t="s">
        <v>982</v>
      </c>
      <c r="C279" s="8">
        <v>1</v>
      </c>
      <c r="D279" s="9">
        <v>29.99</v>
      </c>
      <c r="E279" s="8" t="s">
        <v>983</v>
      </c>
      <c r="F279" s="7" t="s">
        <v>43</v>
      </c>
      <c r="G279" s="11"/>
      <c r="H279" s="7" t="s">
        <v>984</v>
      </c>
      <c r="I279" s="7" t="s">
        <v>985</v>
      </c>
      <c r="J279" s="7" t="s">
        <v>52</v>
      </c>
      <c r="K279" s="7"/>
      <c r="L279" s="12" t="str">
        <f>HYPERLINK("http://slimages.macys.com/is/image/MCY/9396664 ")</f>
        <v xml:space="preserve">http://slimages.macys.com/is/image/MCY/9396664 </v>
      </c>
      <c r="M279" s="13"/>
    </row>
    <row r="280" spans="1:13" ht="60" x14ac:dyDescent="0.25">
      <c r="A280" s="11" t="s">
        <v>341</v>
      </c>
      <c r="B280" s="7" t="s">
        <v>342</v>
      </c>
      <c r="C280" s="8">
        <v>1</v>
      </c>
      <c r="D280" s="9">
        <v>94.99</v>
      </c>
      <c r="E280" s="8" t="s">
        <v>343</v>
      </c>
      <c r="F280" s="7" t="s">
        <v>103</v>
      </c>
      <c r="G280" s="11"/>
      <c r="H280" s="7" t="s">
        <v>125</v>
      </c>
      <c r="I280" s="7" t="s">
        <v>226</v>
      </c>
      <c r="J280" s="7" t="s">
        <v>52</v>
      </c>
      <c r="K280" s="7" t="s">
        <v>121</v>
      </c>
      <c r="L280" s="12" t="str">
        <f>HYPERLINK("http://slimages.macys.com/is/image/MCY/13813823 ")</f>
        <v xml:space="preserve">http://slimages.macys.com/is/image/MCY/13813823 </v>
      </c>
      <c r="M280" s="13"/>
    </row>
    <row r="281" spans="1:13" ht="60" x14ac:dyDescent="0.25">
      <c r="A281" s="11" t="s">
        <v>386</v>
      </c>
      <c r="B281" s="7" t="s">
        <v>387</v>
      </c>
      <c r="C281" s="8">
        <v>1</v>
      </c>
      <c r="D281" s="9">
        <v>87.99</v>
      </c>
      <c r="E281" s="8" t="s">
        <v>388</v>
      </c>
      <c r="F281" s="7" t="s">
        <v>389</v>
      </c>
      <c r="G281" s="11"/>
      <c r="H281" s="7" t="s">
        <v>125</v>
      </c>
      <c r="I281" s="7" t="s">
        <v>226</v>
      </c>
      <c r="J281" s="7" t="s">
        <v>52</v>
      </c>
      <c r="K281" s="7" t="s">
        <v>121</v>
      </c>
      <c r="L281" s="12" t="str">
        <f>HYPERLINK("http://slimages.macys.com/is/image/MCY/15783101 ")</f>
        <v xml:space="preserve">http://slimages.macys.com/is/image/MCY/15783101 </v>
      </c>
      <c r="M281" s="13"/>
    </row>
    <row r="282" spans="1:13" ht="60" x14ac:dyDescent="0.25">
      <c r="A282" s="11" t="s">
        <v>223</v>
      </c>
      <c r="B282" s="7" t="s">
        <v>224</v>
      </c>
      <c r="C282" s="8">
        <v>2</v>
      </c>
      <c r="D282" s="9">
        <v>123.99</v>
      </c>
      <c r="E282" s="8" t="s">
        <v>225</v>
      </c>
      <c r="F282" s="7" t="s">
        <v>93</v>
      </c>
      <c r="G282" s="11"/>
      <c r="H282" s="7" t="s">
        <v>125</v>
      </c>
      <c r="I282" s="7" t="s">
        <v>226</v>
      </c>
      <c r="J282" s="7" t="s">
        <v>52</v>
      </c>
      <c r="K282" s="7" t="s">
        <v>121</v>
      </c>
      <c r="L282" s="12" t="str">
        <f>HYPERLINK("http://slimages.macys.com/is/image/MCY/15422211 ")</f>
        <v xml:space="preserve">http://slimages.macys.com/is/image/MCY/15422211 </v>
      </c>
      <c r="M282" s="13"/>
    </row>
    <row r="283" spans="1:13" ht="60" x14ac:dyDescent="0.25">
      <c r="A283" s="11" t="s">
        <v>421</v>
      </c>
      <c r="B283" s="7" t="s">
        <v>422</v>
      </c>
      <c r="C283" s="8">
        <v>1</v>
      </c>
      <c r="D283" s="9">
        <v>99.99</v>
      </c>
      <c r="E283" s="8" t="s">
        <v>423</v>
      </c>
      <c r="F283" s="7" t="s">
        <v>103</v>
      </c>
      <c r="G283" s="11"/>
      <c r="H283" s="7" t="s">
        <v>98</v>
      </c>
      <c r="I283" s="7" t="s">
        <v>146</v>
      </c>
      <c r="J283" s="7" t="s">
        <v>52</v>
      </c>
      <c r="K283" s="7" t="s">
        <v>59</v>
      </c>
      <c r="L283" s="12" t="str">
        <f>HYPERLINK("http://slimages.macys.com/is/image/MCY/13531876 ")</f>
        <v xml:space="preserve">http://slimages.macys.com/is/image/MCY/13531876 </v>
      </c>
      <c r="M283" s="13"/>
    </row>
    <row r="284" spans="1:13" ht="60" x14ac:dyDescent="0.25">
      <c r="A284" s="11" t="s">
        <v>272</v>
      </c>
      <c r="B284" s="7" t="s">
        <v>273</v>
      </c>
      <c r="C284" s="8">
        <v>1</v>
      </c>
      <c r="D284" s="9">
        <v>128.99</v>
      </c>
      <c r="E284" s="8" t="s">
        <v>274</v>
      </c>
      <c r="F284" s="7" t="s">
        <v>108</v>
      </c>
      <c r="G284" s="11" t="s">
        <v>275</v>
      </c>
      <c r="H284" s="7" t="s">
        <v>88</v>
      </c>
      <c r="I284" s="7" t="s">
        <v>276</v>
      </c>
      <c r="J284" s="7" t="s">
        <v>52</v>
      </c>
      <c r="K284" s="7" t="s">
        <v>121</v>
      </c>
      <c r="L284" s="12" t="str">
        <f>HYPERLINK("http://slimages.macys.com/is/image/MCY/14477346 ")</f>
        <v xml:space="preserve">http://slimages.macys.com/is/image/MCY/14477346 </v>
      </c>
      <c r="M284" s="13"/>
    </row>
    <row r="285" spans="1:13" ht="60" x14ac:dyDescent="0.25">
      <c r="A285" s="11" t="s">
        <v>1064</v>
      </c>
      <c r="B285" s="7" t="s">
        <v>1065</v>
      </c>
      <c r="C285" s="8">
        <v>2</v>
      </c>
      <c r="D285" s="9">
        <v>28.99</v>
      </c>
      <c r="E285" s="8" t="s">
        <v>1066</v>
      </c>
      <c r="F285" s="7" t="s">
        <v>43</v>
      </c>
      <c r="G285" s="11"/>
      <c r="H285" s="7" t="s">
        <v>125</v>
      </c>
      <c r="I285" s="7" t="s">
        <v>495</v>
      </c>
      <c r="J285" s="7" t="s">
        <v>52</v>
      </c>
      <c r="K285" s="7" t="s">
        <v>496</v>
      </c>
      <c r="L285" s="12" t="str">
        <f>HYPERLINK("http://slimages.macys.com/is/image/MCY/16407622 ")</f>
        <v xml:space="preserve">http://slimages.macys.com/is/image/MCY/16407622 </v>
      </c>
      <c r="M285" s="13"/>
    </row>
    <row r="286" spans="1:13" ht="60" x14ac:dyDescent="0.25">
      <c r="A286" s="11" t="s">
        <v>836</v>
      </c>
      <c r="B286" s="7" t="s">
        <v>837</v>
      </c>
      <c r="C286" s="8">
        <v>1</v>
      </c>
      <c r="D286" s="9">
        <v>40.99</v>
      </c>
      <c r="E286" s="8" t="s">
        <v>838</v>
      </c>
      <c r="F286" s="7" t="s">
        <v>43</v>
      </c>
      <c r="G286" s="11"/>
      <c r="H286" s="7" t="s">
        <v>125</v>
      </c>
      <c r="I286" s="7" t="s">
        <v>495</v>
      </c>
      <c r="J286" s="7" t="s">
        <v>52</v>
      </c>
      <c r="K286" s="7" t="s">
        <v>496</v>
      </c>
      <c r="L286" s="12" t="str">
        <f>HYPERLINK("http://slimages.macys.com/is/image/MCY/16407636 ")</f>
        <v xml:space="preserve">http://slimages.macys.com/is/image/MCY/16407636 </v>
      </c>
      <c r="M286" s="13"/>
    </row>
    <row r="287" spans="1:13" ht="60" x14ac:dyDescent="0.25">
      <c r="A287" s="11" t="s">
        <v>1113</v>
      </c>
      <c r="B287" s="7" t="s">
        <v>1114</v>
      </c>
      <c r="C287" s="8">
        <v>1</v>
      </c>
      <c r="D287" s="9">
        <v>25.99</v>
      </c>
      <c r="E287" s="8" t="s">
        <v>1115</v>
      </c>
      <c r="F287" s="7" t="s">
        <v>217</v>
      </c>
      <c r="G287" s="11"/>
      <c r="H287" s="7" t="s">
        <v>125</v>
      </c>
      <c r="I287" s="7" t="s">
        <v>495</v>
      </c>
      <c r="J287" s="7" t="s">
        <v>52</v>
      </c>
      <c r="K287" s="7" t="s">
        <v>496</v>
      </c>
      <c r="L287" s="12" t="str">
        <f>HYPERLINK("http://slimages.macys.com/is/image/MCY/16408719 ")</f>
        <v xml:space="preserve">http://slimages.macys.com/is/image/MCY/16408719 </v>
      </c>
      <c r="M287" s="13"/>
    </row>
    <row r="288" spans="1:13" ht="60" x14ac:dyDescent="0.25">
      <c r="A288" s="11" t="s">
        <v>491</v>
      </c>
      <c r="B288" s="7" t="s">
        <v>492</v>
      </c>
      <c r="C288" s="8">
        <v>1</v>
      </c>
      <c r="D288" s="9">
        <v>64.989999999999995</v>
      </c>
      <c r="E288" s="8" t="s">
        <v>493</v>
      </c>
      <c r="F288" s="7" t="s">
        <v>494</v>
      </c>
      <c r="G288" s="11"/>
      <c r="H288" s="7" t="s">
        <v>125</v>
      </c>
      <c r="I288" s="7" t="s">
        <v>495</v>
      </c>
      <c r="J288" s="7" t="s">
        <v>52</v>
      </c>
      <c r="K288" s="7" t="s">
        <v>496</v>
      </c>
      <c r="L288" s="12" t="str">
        <f>HYPERLINK("http://slimages.macys.com/is/image/MCY/16408632 ")</f>
        <v xml:space="preserve">http://slimages.macys.com/is/image/MCY/16408632 </v>
      </c>
      <c r="M288" s="13"/>
    </row>
    <row r="289" spans="1:13" ht="228" x14ac:dyDescent="0.25">
      <c r="A289" s="11" t="s">
        <v>168</v>
      </c>
      <c r="B289" s="7" t="s">
        <v>169</v>
      </c>
      <c r="C289" s="8">
        <v>1</v>
      </c>
      <c r="D289" s="9">
        <v>134.99</v>
      </c>
      <c r="E289" s="8" t="s">
        <v>170</v>
      </c>
      <c r="F289" s="7" t="s">
        <v>171</v>
      </c>
      <c r="G289" s="11"/>
      <c r="H289" s="7" t="s">
        <v>88</v>
      </c>
      <c r="I289" s="7" t="s">
        <v>80</v>
      </c>
      <c r="J289" s="7" t="s">
        <v>52</v>
      </c>
      <c r="K289" s="7" t="s">
        <v>172</v>
      </c>
      <c r="L289" s="12" t="str">
        <f>HYPERLINK("http://slimages.macys.com/is/image/MCY/9627815 ")</f>
        <v xml:space="preserve">http://slimages.macys.com/is/image/MCY/9627815 </v>
      </c>
      <c r="M289" s="13"/>
    </row>
    <row r="290" spans="1:13" ht="264" x14ac:dyDescent="0.25">
      <c r="A290" s="11" t="s">
        <v>90</v>
      </c>
      <c r="B290" s="7" t="s">
        <v>91</v>
      </c>
      <c r="C290" s="8">
        <v>1</v>
      </c>
      <c r="D290" s="9">
        <v>179.99</v>
      </c>
      <c r="E290" s="8" t="s">
        <v>92</v>
      </c>
      <c r="F290" s="7" t="s">
        <v>93</v>
      </c>
      <c r="G290" s="11"/>
      <c r="H290" s="7" t="s">
        <v>88</v>
      </c>
      <c r="I290" s="7" t="s">
        <v>80</v>
      </c>
      <c r="J290" s="7" t="s">
        <v>52</v>
      </c>
      <c r="K290" s="7" t="s">
        <v>94</v>
      </c>
      <c r="L290" s="12" t="str">
        <f>HYPERLINK("http://slimages.macys.com/is/image/MCY/9627785 ")</f>
        <v xml:space="preserve">http://slimages.macys.com/is/image/MCY/9627785 </v>
      </c>
      <c r="M290" s="13"/>
    </row>
    <row r="291" spans="1:13" ht="60" x14ac:dyDescent="0.25">
      <c r="A291" s="11" t="s">
        <v>122</v>
      </c>
      <c r="B291" s="7" t="s">
        <v>123</v>
      </c>
      <c r="C291" s="8">
        <v>1</v>
      </c>
      <c r="D291" s="9">
        <v>109.99</v>
      </c>
      <c r="E291" s="8" t="s">
        <v>124</v>
      </c>
      <c r="F291" s="7" t="s">
        <v>49</v>
      </c>
      <c r="G291" s="11"/>
      <c r="H291" s="7" t="s">
        <v>125</v>
      </c>
      <c r="I291" s="7" t="s">
        <v>80</v>
      </c>
      <c r="J291" s="7" t="s">
        <v>52</v>
      </c>
      <c r="K291" s="7" t="s">
        <v>126</v>
      </c>
      <c r="L291" s="12" t="str">
        <f>HYPERLINK("http://slimages.macys.com/is/image/MCY/9803603 ")</f>
        <v xml:space="preserve">http://slimages.macys.com/is/image/MCY/9803603 </v>
      </c>
      <c r="M291" s="13"/>
    </row>
    <row r="292" spans="1:13" ht="60" x14ac:dyDescent="0.25">
      <c r="A292" s="11" t="s">
        <v>758</v>
      </c>
      <c r="B292" s="7" t="s">
        <v>759</v>
      </c>
      <c r="C292" s="8">
        <v>2</v>
      </c>
      <c r="D292" s="9">
        <v>24.99</v>
      </c>
      <c r="E292" s="8" t="s">
        <v>760</v>
      </c>
      <c r="F292" s="7" t="s">
        <v>93</v>
      </c>
      <c r="G292" s="11"/>
      <c r="H292" s="7" t="s">
        <v>125</v>
      </c>
      <c r="I292" s="7" t="s">
        <v>80</v>
      </c>
      <c r="J292" s="7" t="s">
        <v>52</v>
      </c>
      <c r="K292" s="7"/>
      <c r="L292" s="12" t="str">
        <f>HYPERLINK("http://slimages.macys.com/is/image/MCY/10010840 ")</f>
        <v xml:space="preserve">http://slimages.macys.com/is/image/MCY/10010840 </v>
      </c>
      <c r="M292" s="13"/>
    </row>
    <row r="293" spans="1:13" ht="60" x14ac:dyDescent="0.25">
      <c r="A293" s="11" t="s">
        <v>755</v>
      </c>
      <c r="B293" s="7" t="s">
        <v>756</v>
      </c>
      <c r="C293" s="8">
        <v>4</v>
      </c>
      <c r="D293" s="9">
        <v>24.99</v>
      </c>
      <c r="E293" s="8" t="s">
        <v>757</v>
      </c>
      <c r="F293" s="7" t="s">
        <v>313</v>
      </c>
      <c r="G293" s="11"/>
      <c r="H293" s="7" t="s">
        <v>125</v>
      </c>
      <c r="I293" s="7" t="s">
        <v>80</v>
      </c>
      <c r="J293" s="7" t="s">
        <v>52</v>
      </c>
      <c r="K293" s="7"/>
      <c r="L293" s="12" t="str">
        <f>HYPERLINK("http://slimages.macys.com/is/image/MCY/10010840 ")</f>
        <v xml:space="preserve">http://slimages.macys.com/is/image/MCY/10010840 </v>
      </c>
      <c r="M293" s="13"/>
    </row>
    <row r="294" spans="1:13" ht="60" x14ac:dyDescent="0.25">
      <c r="A294" s="11" t="s">
        <v>755</v>
      </c>
      <c r="B294" s="7" t="s">
        <v>756</v>
      </c>
      <c r="C294" s="8">
        <v>1</v>
      </c>
      <c r="D294" s="9">
        <v>24.99</v>
      </c>
      <c r="E294" s="8" t="s">
        <v>757</v>
      </c>
      <c r="F294" s="7" t="s">
        <v>313</v>
      </c>
      <c r="G294" s="11"/>
      <c r="H294" s="7" t="s">
        <v>125</v>
      </c>
      <c r="I294" s="7" t="s">
        <v>80</v>
      </c>
      <c r="J294" s="7" t="s">
        <v>52</v>
      </c>
      <c r="K294" s="7"/>
      <c r="L294" s="12" t="str">
        <f>HYPERLINK("http://slimages.macys.com/is/image/MCY/10010840 ")</f>
        <v xml:space="preserve">http://slimages.macys.com/is/image/MCY/10010840 </v>
      </c>
      <c r="M294" s="13"/>
    </row>
    <row r="295" spans="1:13" ht="60" x14ac:dyDescent="0.25">
      <c r="A295" s="11" t="s">
        <v>667</v>
      </c>
      <c r="B295" s="7" t="s">
        <v>668</v>
      </c>
      <c r="C295" s="8">
        <v>3</v>
      </c>
      <c r="D295" s="9">
        <v>33.99</v>
      </c>
      <c r="E295" s="8" t="s">
        <v>669</v>
      </c>
      <c r="F295" s="7" t="s">
        <v>43</v>
      </c>
      <c r="G295" s="11"/>
      <c r="H295" s="7" t="s">
        <v>125</v>
      </c>
      <c r="I295" s="7" t="s">
        <v>80</v>
      </c>
      <c r="J295" s="7" t="s">
        <v>52</v>
      </c>
      <c r="K295" s="7"/>
      <c r="L295" s="12" t="str">
        <f>HYPERLINK("http://slimages.macys.com/is/image/MCY/10010883 ")</f>
        <v xml:space="preserve">http://slimages.macys.com/is/image/MCY/10010883 </v>
      </c>
      <c r="M295" s="13"/>
    </row>
    <row r="296" spans="1:13" ht="60" x14ac:dyDescent="0.25">
      <c r="A296" s="11" t="s">
        <v>667</v>
      </c>
      <c r="B296" s="7" t="s">
        <v>668</v>
      </c>
      <c r="C296" s="8">
        <v>1</v>
      </c>
      <c r="D296" s="9">
        <v>33.99</v>
      </c>
      <c r="E296" s="8" t="s">
        <v>669</v>
      </c>
      <c r="F296" s="7" t="s">
        <v>43</v>
      </c>
      <c r="G296" s="11"/>
      <c r="H296" s="7" t="s">
        <v>125</v>
      </c>
      <c r="I296" s="7" t="s">
        <v>80</v>
      </c>
      <c r="J296" s="7" t="s">
        <v>52</v>
      </c>
      <c r="K296" s="7"/>
      <c r="L296" s="12" t="str">
        <f>HYPERLINK("http://slimages.macys.com/is/image/MCY/10010883 ")</f>
        <v xml:space="preserve">http://slimages.macys.com/is/image/MCY/10010883 </v>
      </c>
      <c r="M296" s="13"/>
    </row>
    <row r="297" spans="1:13" ht="60" x14ac:dyDescent="0.25">
      <c r="A297" s="11" t="s">
        <v>860</v>
      </c>
      <c r="B297" s="7" t="s">
        <v>861</v>
      </c>
      <c r="C297" s="8">
        <v>2</v>
      </c>
      <c r="D297" s="9">
        <v>27.99</v>
      </c>
      <c r="E297" s="8" t="s">
        <v>862</v>
      </c>
      <c r="F297" s="7" t="s">
        <v>478</v>
      </c>
      <c r="G297" s="11"/>
      <c r="H297" s="7" t="s">
        <v>125</v>
      </c>
      <c r="I297" s="7" t="s">
        <v>80</v>
      </c>
      <c r="J297" s="7" t="s">
        <v>52</v>
      </c>
      <c r="K297" s="7" t="s">
        <v>863</v>
      </c>
      <c r="L297" s="12" t="str">
        <f>HYPERLINK("http://slimages.macys.com/is/image/MCY/9534578 ")</f>
        <v xml:space="preserve">http://slimages.macys.com/is/image/MCY/9534578 </v>
      </c>
      <c r="M297" s="13"/>
    </row>
    <row r="298" spans="1:13" ht="60" x14ac:dyDescent="0.25">
      <c r="A298" s="11" t="s">
        <v>777</v>
      </c>
      <c r="B298" s="7" t="s">
        <v>778</v>
      </c>
      <c r="C298" s="8">
        <v>2</v>
      </c>
      <c r="D298" s="9">
        <v>27.99</v>
      </c>
      <c r="E298" s="8" t="s">
        <v>779</v>
      </c>
      <c r="F298" s="7" t="s">
        <v>557</v>
      </c>
      <c r="G298" s="11"/>
      <c r="H298" s="7" t="s">
        <v>125</v>
      </c>
      <c r="I298" s="7" t="s">
        <v>80</v>
      </c>
      <c r="J298" s="7" t="s">
        <v>52</v>
      </c>
      <c r="K298" s="7" t="s">
        <v>780</v>
      </c>
      <c r="L298" s="12" t="str">
        <f>HYPERLINK("http://slimages.macys.com/is/image/MCY/9614138 ")</f>
        <v xml:space="preserve">http://slimages.macys.com/is/image/MCY/9614138 </v>
      </c>
      <c r="M298" s="13"/>
    </row>
    <row r="299" spans="1:13" ht="60" x14ac:dyDescent="0.25">
      <c r="A299" s="11" t="s">
        <v>777</v>
      </c>
      <c r="B299" s="7" t="s">
        <v>778</v>
      </c>
      <c r="C299" s="8">
        <v>1</v>
      </c>
      <c r="D299" s="9">
        <v>27.99</v>
      </c>
      <c r="E299" s="8" t="s">
        <v>779</v>
      </c>
      <c r="F299" s="7" t="s">
        <v>557</v>
      </c>
      <c r="G299" s="11"/>
      <c r="H299" s="7" t="s">
        <v>125</v>
      </c>
      <c r="I299" s="7" t="s">
        <v>80</v>
      </c>
      <c r="J299" s="7" t="s">
        <v>52</v>
      </c>
      <c r="K299" s="7" t="s">
        <v>780</v>
      </c>
      <c r="L299" s="12" t="str">
        <f>HYPERLINK("http://slimages.macys.com/is/image/MCY/9614138 ")</f>
        <v xml:space="preserve">http://slimages.macys.com/is/image/MCY/9614138 </v>
      </c>
      <c r="M299" s="13"/>
    </row>
    <row r="300" spans="1:13" ht="60" x14ac:dyDescent="0.25">
      <c r="A300" s="11" t="s">
        <v>211</v>
      </c>
      <c r="B300" s="7" t="s">
        <v>212</v>
      </c>
      <c r="C300" s="8">
        <v>1</v>
      </c>
      <c r="D300" s="9">
        <v>113.99</v>
      </c>
      <c r="E300" s="8" t="s">
        <v>213</v>
      </c>
      <c r="F300" s="7" t="s">
        <v>108</v>
      </c>
      <c r="G300" s="11"/>
      <c r="H300" s="7" t="s">
        <v>88</v>
      </c>
      <c r="I300" s="7" t="s">
        <v>80</v>
      </c>
      <c r="J300" s="7" t="s">
        <v>52</v>
      </c>
      <c r="K300" s="7" t="s">
        <v>121</v>
      </c>
      <c r="L300" s="12" t="str">
        <f>HYPERLINK("http://slimages.macys.com/is/image/MCY/16419068 ")</f>
        <v xml:space="preserve">http://slimages.macys.com/is/image/MCY/16419068 </v>
      </c>
      <c r="M300" s="13"/>
    </row>
    <row r="301" spans="1:13" ht="312" x14ac:dyDescent="0.25">
      <c r="A301" s="11" t="s">
        <v>113</v>
      </c>
      <c r="B301" s="7" t="s">
        <v>114</v>
      </c>
      <c r="C301" s="8">
        <v>1</v>
      </c>
      <c r="D301" s="9">
        <v>149.99</v>
      </c>
      <c r="E301" s="8" t="s">
        <v>115</v>
      </c>
      <c r="F301" s="7" t="s">
        <v>55</v>
      </c>
      <c r="G301" s="11"/>
      <c r="H301" s="7" t="s">
        <v>88</v>
      </c>
      <c r="I301" s="7" t="s">
        <v>80</v>
      </c>
      <c r="J301" s="7" t="s">
        <v>52</v>
      </c>
      <c r="K301" s="7" t="s">
        <v>116</v>
      </c>
      <c r="L301" s="12" t="str">
        <f>HYPERLINK("http://slimages.macys.com/is/image/MCY/9566771 ")</f>
        <v xml:space="preserve">http://slimages.macys.com/is/image/MCY/9566771 </v>
      </c>
      <c r="M301" s="13"/>
    </row>
    <row r="302" spans="1:13" ht="360" x14ac:dyDescent="0.25">
      <c r="A302" s="11" t="s">
        <v>84</v>
      </c>
      <c r="B302" s="7" t="s">
        <v>85</v>
      </c>
      <c r="C302" s="8">
        <v>1</v>
      </c>
      <c r="D302" s="9">
        <v>179.99</v>
      </c>
      <c r="E302" s="8" t="s">
        <v>86</v>
      </c>
      <c r="F302" s="7" t="s">
        <v>87</v>
      </c>
      <c r="G302" s="11"/>
      <c r="H302" s="7" t="s">
        <v>88</v>
      </c>
      <c r="I302" s="7" t="s">
        <v>80</v>
      </c>
      <c r="J302" s="7" t="s">
        <v>52</v>
      </c>
      <c r="K302" s="7" t="s">
        <v>89</v>
      </c>
      <c r="L302" s="12" t="str">
        <f>HYPERLINK("http://slimages.macys.com/is/image/MCY/9627827 ")</f>
        <v xml:space="preserve">http://slimages.macys.com/is/image/MCY/9627827 </v>
      </c>
      <c r="M302" s="13"/>
    </row>
    <row r="303" spans="1:13" ht="60" x14ac:dyDescent="0.25">
      <c r="A303" s="11" t="s">
        <v>187</v>
      </c>
      <c r="B303" s="7" t="s">
        <v>188</v>
      </c>
      <c r="C303" s="8">
        <v>1</v>
      </c>
      <c r="D303" s="9">
        <v>109.99</v>
      </c>
      <c r="E303" s="8" t="s">
        <v>189</v>
      </c>
      <c r="F303" s="7" t="s">
        <v>190</v>
      </c>
      <c r="G303" s="11"/>
      <c r="H303" s="7" t="s">
        <v>88</v>
      </c>
      <c r="I303" s="7" t="s">
        <v>80</v>
      </c>
      <c r="J303" s="7" t="s">
        <v>52</v>
      </c>
      <c r="K303" s="7" t="s">
        <v>121</v>
      </c>
      <c r="L303" s="12" t="str">
        <f>HYPERLINK("http://slimages.macys.com/is/image/MCY/8930319 ")</f>
        <v xml:space="preserve">http://slimages.macys.com/is/image/MCY/8930319 </v>
      </c>
      <c r="M303" s="13"/>
    </row>
    <row r="304" spans="1:13" ht="60" x14ac:dyDescent="0.25">
      <c r="A304" s="11" t="s">
        <v>896</v>
      </c>
      <c r="B304" s="7" t="s">
        <v>897</v>
      </c>
      <c r="C304" s="8">
        <v>2</v>
      </c>
      <c r="D304" s="9">
        <v>25.99</v>
      </c>
      <c r="E304" s="8" t="s">
        <v>898</v>
      </c>
      <c r="F304" s="7" t="s">
        <v>93</v>
      </c>
      <c r="G304" s="11"/>
      <c r="H304" s="7" t="s">
        <v>125</v>
      </c>
      <c r="I304" s="7" t="s">
        <v>80</v>
      </c>
      <c r="J304" s="7" t="s">
        <v>52</v>
      </c>
      <c r="K304" s="7" t="s">
        <v>121</v>
      </c>
      <c r="L304" s="12" t="str">
        <f>HYPERLINK("http://slimages.macys.com/is/image/MCY/9533881 ")</f>
        <v xml:space="preserve">http://slimages.macys.com/is/image/MCY/9533881 </v>
      </c>
      <c r="M304" s="13"/>
    </row>
    <row r="305" spans="1:13" ht="60" x14ac:dyDescent="0.25">
      <c r="A305" s="11" t="s">
        <v>397</v>
      </c>
      <c r="B305" s="7" t="s">
        <v>398</v>
      </c>
      <c r="C305" s="8">
        <v>1</v>
      </c>
      <c r="D305" s="9">
        <v>57.99</v>
      </c>
      <c r="E305" s="8" t="s">
        <v>399</v>
      </c>
      <c r="F305" s="7" t="s">
        <v>171</v>
      </c>
      <c r="G305" s="11"/>
      <c r="H305" s="7" t="s">
        <v>125</v>
      </c>
      <c r="I305" s="7" t="s">
        <v>80</v>
      </c>
      <c r="J305" s="7" t="s">
        <v>52</v>
      </c>
      <c r="K305" s="7" t="s">
        <v>400</v>
      </c>
      <c r="L305" s="12" t="str">
        <f>HYPERLINK("http://slimages.macys.com/is/image/MCY/9534095 ")</f>
        <v xml:space="preserve">http://slimages.macys.com/is/image/MCY/9534095 </v>
      </c>
      <c r="M305" s="13"/>
    </row>
    <row r="306" spans="1:13" ht="216" x14ac:dyDescent="0.25">
      <c r="A306" s="11" t="s">
        <v>150</v>
      </c>
      <c r="B306" s="7" t="s">
        <v>151</v>
      </c>
      <c r="C306" s="8">
        <v>1</v>
      </c>
      <c r="D306" s="9">
        <v>155.99</v>
      </c>
      <c r="E306" s="8" t="s">
        <v>152</v>
      </c>
      <c r="F306" s="7" t="s">
        <v>93</v>
      </c>
      <c r="G306" s="11"/>
      <c r="H306" s="7" t="s">
        <v>125</v>
      </c>
      <c r="I306" s="7" t="s">
        <v>80</v>
      </c>
      <c r="J306" s="7" t="s">
        <v>52</v>
      </c>
      <c r="K306" s="7" t="s">
        <v>153</v>
      </c>
      <c r="L306" s="12" t="str">
        <f>HYPERLINK("http://slimages.macys.com/is/image/MCY/12499191 ")</f>
        <v xml:space="preserve">http://slimages.macys.com/is/image/MCY/12499191 </v>
      </c>
      <c r="M306" s="13"/>
    </row>
    <row r="307" spans="1:13" ht="60" x14ac:dyDescent="0.25">
      <c r="A307" s="11" t="s">
        <v>204</v>
      </c>
      <c r="B307" s="7" t="s">
        <v>205</v>
      </c>
      <c r="C307" s="8">
        <v>1</v>
      </c>
      <c r="D307" s="9">
        <v>139.99</v>
      </c>
      <c r="E307" s="8" t="s">
        <v>206</v>
      </c>
      <c r="F307" s="7" t="s">
        <v>49</v>
      </c>
      <c r="G307" s="11"/>
      <c r="H307" s="7" t="s">
        <v>88</v>
      </c>
      <c r="I307" s="7" t="s">
        <v>80</v>
      </c>
      <c r="J307" s="7" t="s">
        <v>52</v>
      </c>
      <c r="K307" s="7" t="s">
        <v>207</v>
      </c>
      <c r="L307" s="12" t="str">
        <f>HYPERLINK("http://slimages.macys.com/is/image/MCY/12497432 ")</f>
        <v xml:space="preserve">http://slimages.macys.com/is/image/MCY/12497432 </v>
      </c>
      <c r="M307" s="13"/>
    </row>
    <row r="308" spans="1:13" ht="60" x14ac:dyDescent="0.25">
      <c r="A308" s="11" t="s">
        <v>781</v>
      </c>
      <c r="B308" s="7" t="s">
        <v>782</v>
      </c>
      <c r="C308" s="8">
        <v>1</v>
      </c>
      <c r="D308" s="9">
        <v>30.99</v>
      </c>
      <c r="E308" s="8" t="s">
        <v>783</v>
      </c>
      <c r="F308" s="7" t="s">
        <v>108</v>
      </c>
      <c r="G308" s="11"/>
      <c r="H308" s="7" t="s">
        <v>125</v>
      </c>
      <c r="I308" s="7" t="s">
        <v>80</v>
      </c>
      <c r="J308" s="7" t="s">
        <v>52</v>
      </c>
      <c r="K308" s="7" t="s">
        <v>121</v>
      </c>
      <c r="L308" s="12" t="str">
        <f>HYPERLINK("http://slimages.macys.com/is/image/MCY/16438573 ")</f>
        <v xml:space="preserve">http://slimages.macys.com/is/image/MCY/16438573 </v>
      </c>
      <c r="M308" s="13"/>
    </row>
    <row r="309" spans="1:13" ht="60" x14ac:dyDescent="0.25">
      <c r="A309" s="11" t="s">
        <v>636</v>
      </c>
      <c r="B309" s="7" t="s">
        <v>637</v>
      </c>
      <c r="C309" s="8">
        <v>2</v>
      </c>
      <c r="D309" s="9">
        <v>35.99</v>
      </c>
      <c r="E309" s="8" t="s">
        <v>638</v>
      </c>
      <c r="F309" s="7" t="s">
        <v>108</v>
      </c>
      <c r="G309" s="11"/>
      <c r="H309" s="7" t="s">
        <v>125</v>
      </c>
      <c r="I309" s="7" t="s">
        <v>80</v>
      </c>
      <c r="J309" s="7" t="s">
        <v>52</v>
      </c>
      <c r="K309" s="7" t="s">
        <v>121</v>
      </c>
      <c r="L309" s="12" t="str">
        <f>HYPERLINK("http://slimages.macys.com/is/image/MCY/16396454 ")</f>
        <v xml:space="preserve">http://slimages.macys.com/is/image/MCY/16396454 </v>
      </c>
      <c r="M309" s="13"/>
    </row>
    <row r="310" spans="1:13" ht="60" x14ac:dyDescent="0.25">
      <c r="A310" s="11" t="s">
        <v>833</v>
      </c>
      <c r="B310" s="7" t="s">
        <v>834</v>
      </c>
      <c r="C310" s="8">
        <v>3</v>
      </c>
      <c r="D310" s="9">
        <v>27.99</v>
      </c>
      <c r="E310" s="8" t="s">
        <v>835</v>
      </c>
      <c r="F310" s="7" t="s">
        <v>93</v>
      </c>
      <c r="G310" s="11"/>
      <c r="H310" s="7" t="s">
        <v>125</v>
      </c>
      <c r="I310" s="7" t="s">
        <v>80</v>
      </c>
      <c r="J310" s="7" t="s">
        <v>52</v>
      </c>
      <c r="K310" s="7" t="s">
        <v>121</v>
      </c>
      <c r="L310" s="12" t="str">
        <f>HYPERLINK("http://slimages.macys.com/is/image/MCY/16396397 ")</f>
        <v xml:space="preserve">http://slimages.macys.com/is/image/MCY/16396397 </v>
      </c>
      <c r="M310" s="13"/>
    </row>
    <row r="311" spans="1:13" ht="60" x14ac:dyDescent="0.25">
      <c r="A311" s="11" t="s">
        <v>833</v>
      </c>
      <c r="B311" s="7" t="s">
        <v>834</v>
      </c>
      <c r="C311" s="8">
        <v>1</v>
      </c>
      <c r="D311" s="9">
        <v>27.99</v>
      </c>
      <c r="E311" s="8" t="s">
        <v>835</v>
      </c>
      <c r="F311" s="7" t="s">
        <v>93</v>
      </c>
      <c r="G311" s="11"/>
      <c r="H311" s="7" t="s">
        <v>125</v>
      </c>
      <c r="I311" s="7" t="s">
        <v>80</v>
      </c>
      <c r="J311" s="7" t="s">
        <v>52</v>
      </c>
      <c r="K311" s="7" t="s">
        <v>121</v>
      </c>
      <c r="L311" s="12" t="str">
        <f>HYPERLINK("http://slimages.macys.com/is/image/MCY/16396397 ")</f>
        <v xml:space="preserve">http://slimages.macys.com/is/image/MCY/16396397 </v>
      </c>
      <c r="M311" s="13"/>
    </row>
    <row r="312" spans="1:13" ht="60" x14ac:dyDescent="0.25">
      <c r="A312" s="11" t="s">
        <v>830</v>
      </c>
      <c r="B312" s="7" t="s">
        <v>831</v>
      </c>
      <c r="C312" s="8">
        <v>1</v>
      </c>
      <c r="D312" s="9">
        <v>27.99</v>
      </c>
      <c r="E312" s="8" t="s">
        <v>832</v>
      </c>
      <c r="F312" s="7" t="s">
        <v>93</v>
      </c>
      <c r="G312" s="11"/>
      <c r="H312" s="7" t="s">
        <v>125</v>
      </c>
      <c r="I312" s="7" t="s">
        <v>80</v>
      </c>
      <c r="J312" s="7" t="s">
        <v>52</v>
      </c>
      <c r="K312" s="7" t="s">
        <v>121</v>
      </c>
      <c r="L312" s="12" t="str">
        <f>HYPERLINK("http://slimages.macys.com/is/image/MCY/16438572 ")</f>
        <v xml:space="preserve">http://slimages.macys.com/is/image/MCY/16438572 </v>
      </c>
      <c r="M312" s="13"/>
    </row>
    <row r="313" spans="1:13" ht="192" x14ac:dyDescent="0.25">
      <c r="A313" s="11" t="s">
        <v>1007</v>
      </c>
      <c r="B313" s="7" t="s">
        <v>1008</v>
      </c>
      <c r="C313" s="8">
        <v>1</v>
      </c>
      <c r="D313" s="9">
        <v>24.99</v>
      </c>
      <c r="E313" s="8" t="s">
        <v>1009</v>
      </c>
      <c r="F313" s="7" t="s">
        <v>93</v>
      </c>
      <c r="G313" s="11" t="s">
        <v>432</v>
      </c>
      <c r="H313" s="7" t="s">
        <v>125</v>
      </c>
      <c r="I313" s="7" t="s">
        <v>80</v>
      </c>
      <c r="J313" s="7" t="s">
        <v>52</v>
      </c>
      <c r="K313" s="7" t="s">
        <v>1010</v>
      </c>
      <c r="L313" s="12" t="str">
        <f>HYPERLINK("http://slimages.macys.com/is/image/MCY/9602403 ")</f>
        <v xml:space="preserve">http://slimages.macys.com/is/image/MCY/9602403 </v>
      </c>
      <c r="M313" s="13"/>
    </row>
    <row r="314" spans="1:13" ht="60" x14ac:dyDescent="0.25">
      <c r="A314" s="11" t="s">
        <v>966</v>
      </c>
      <c r="B314" s="7" t="s">
        <v>967</v>
      </c>
      <c r="C314" s="8">
        <v>5</v>
      </c>
      <c r="D314" s="9">
        <v>23.99</v>
      </c>
      <c r="E314" s="8" t="s">
        <v>968</v>
      </c>
      <c r="F314" s="7" t="s">
        <v>969</v>
      </c>
      <c r="G314" s="11"/>
      <c r="H314" s="7" t="s">
        <v>125</v>
      </c>
      <c r="I314" s="7" t="s">
        <v>80</v>
      </c>
      <c r="J314" s="7" t="s">
        <v>52</v>
      </c>
      <c r="K314" s="7" t="s">
        <v>970</v>
      </c>
      <c r="L314" s="12" t="str">
        <f>HYPERLINK("http://slimages.macys.com/is/image/MCY/9548988 ")</f>
        <v xml:space="preserve">http://slimages.macys.com/is/image/MCY/9548988 </v>
      </c>
      <c r="M314" s="13"/>
    </row>
    <row r="315" spans="1:13" ht="60" x14ac:dyDescent="0.25">
      <c r="A315" s="11" t="s">
        <v>971</v>
      </c>
      <c r="B315" s="7" t="s">
        <v>972</v>
      </c>
      <c r="C315" s="8">
        <v>2</v>
      </c>
      <c r="D315" s="9">
        <v>23.99</v>
      </c>
      <c r="E315" s="8" t="s">
        <v>973</v>
      </c>
      <c r="F315" s="7" t="s">
        <v>190</v>
      </c>
      <c r="G315" s="11"/>
      <c r="H315" s="7" t="s">
        <v>125</v>
      </c>
      <c r="I315" s="7" t="s">
        <v>80</v>
      </c>
      <c r="J315" s="7" t="s">
        <v>52</v>
      </c>
      <c r="K315" s="7" t="s">
        <v>970</v>
      </c>
      <c r="L315" s="12" t="str">
        <f>HYPERLINK("http://slimages.macys.com/is/image/MCY/9548988 ")</f>
        <v xml:space="preserve">http://slimages.macys.com/is/image/MCY/9548988 </v>
      </c>
      <c r="M315" s="13"/>
    </row>
    <row r="316" spans="1:13" ht="60" x14ac:dyDescent="0.25">
      <c r="A316" s="11" t="s">
        <v>497</v>
      </c>
      <c r="B316" s="7" t="s">
        <v>498</v>
      </c>
      <c r="C316" s="8">
        <v>1</v>
      </c>
      <c r="D316" s="9">
        <v>49.99</v>
      </c>
      <c r="E316" s="8" t="s">
        <v>499</v>
      </c>
      <c r="F316" s="7" t="s">
        <v>500</v>
      </c>
      <c r="G316" s="11"/>
      <c r="H316" s="7" t="s">
        <v>79</v>
      </c>
      <c r="I316" s="7" t="s">
        <v>80</v>
      </c>
      <c r="J316" s="7" t="s">
        <v>52</v>
      </c>
      <c r="K316" s="7" t="s">
        <v>501</v>
      </c>
      <c r="L316" s="12" t="str">
        <f>HYPERLINK("http://slimages.macys.com/is/image/MCY/9115090 ")</f>
        <v xml:space="preserve">http://slimages.macys.com/is/image/MCY/9115090 </v>
      </c>
      <c r="M316" s="13"/>
    </row>
    <row r="317" spans="1:13" ht="72" x14ac:dyDescent="0.25">
      <c r="A317" s="11" t="s">
        <v>933</v>
      </c>
      <c r="B317" s="7" t="s">
        <v>934</v>
      </c>
      <c r="C317" s="8">
        <v>1</v>
      </c>
      <c r="D317" s="9">
        <v>19.989999999999998</v>
      </c>
      <c r="E317" s="8" t="s">
        <v>935</v>
      </c>
      <c r="F317" s="7" t="s">
        <v>93</v>
      </c>
      <c r="G317" s="11"/>
      <c r="H317" s="7" t="s">
        <v>125</v>
      </c>
      <c r="I317" s="7" t="s">
        <v>80</v>
      </c>
      <c r="J317" s="7" t="s">
        <v>52</v>
      </c>
      <c r="K317" s="7" t="s">
        <v>936</v>
      </c>
      <c r="L317" s="12" t="str">
        <f>HYPERLINK("http://slimages.macys.com/is/image/MCY/9602268 ")</f>
        <v xml:space="preserve">http://slimages.macys.com/is/image/MCY/9602268 </v>
      </c>
      <c r="M317" s="13"/>
    </row>
    <row r="318" spans="1:13" ht="72" x14ac:dyDescent="0.25">
      <c r="A318" s="11" t="s">
        <v>219</v>
      </c>
      <c r="B318" s="7" t="s">
        <v>220</v>
      </c>
      <c r="C318" s="8">
        <v>1</v>
      </c>
      <c r="D318" s="9">
        <v>194</v>
      </c>
      <c r="E318" s="8" t="s">
        <v>221</v>
      </c>
      <c r="F318" s="7" t="s">
        <v>43</v>
      </c>
      <c r="G318" s="11"/>
      <c r="H318" s="7" t="s">
        <v>98</v>
      </c>
      <c r="I318" s="7" t="s">
        <v>146</v>
      </c>
      <c r="J318" s="7" t="s">
        <v>58</v>
      </c>
      <c r="K318" s="7" t="s">
        <v>222</v>
      </c>
      <c r="L318" s="12" t="str">
        <f>HYPERLINK("http://images.bloomingdales.com/is/image/BLM/10806871 ")</f>
        <v xml:space="preserve">http://images.bloomingdales.com/is/image/BLM/10806871 </v>
      </c>
      <c r="M318" s="13"/>
    </row>
    <row r="319" spans="1:13" ht="60" x14ac:dyDescent="0.25">
      <c r="A319" s="11" t="s">
        <v>1024</v>
      </c>
      <c r="B319" s="7" t="s">
        <v>1025</v>
      </c>
      <c r="C319" s="8">
        <v>2</v>
      </c>
      <c r="D319" s="9">
        <v>14.99</v>
      </c>
      <c r="E319" s="8" t="s">
        <v>1026</v>
      </c>
      <c r="F319" s="7" t="s">
        <v>268</v>
      </c>
      <c r="G319" s="11"/>
      <c r="H319" s="7" t="s">
        <v>79</v>
      </c>
      <c r="I319" s="7" t="s">
        <v>520</v>
      </c>
      <c r="J319" s="7" t="s">
        <v>52</v>
      </c>
      <c r="K319" s="7"/>
      <c r="L319" s="12" t="str">
        <f>HYPERLINK("http://slimages.macys.com/is/image/MCY/9829144 ")</f>
        <v xml:space="preserve">http://slimages.macys.com/is/image/MCY/9829144 </v>
      </c>
      <c r="M319" s="13"/>
    </row>
    <row r="320" spans="1:13" ht="48" x14ac:dyDescent="0.25">
      <c r="A320" s="11" t="s">
        <v>1459</v>
      </c>
      <c r="B320" s="7" t="s">
        <v>1460</v>
      </c>
      <c r="C320" s="8">
        <v>1</v>
      </c>
      <c r="D320" s="9">
        <v>14.99</v>
      </c>
      <c r="E320" s="8">
        <v>10011741400</v>
      </c>
      <c r="F320" s="7" t="s">
        <v>43</v>
      </c>
      <c r="G320" s="11"/>
      <c r="H320" s="7" t="s">
        <v>931</v>
      </c>
      <c r="I320" s="7" t="s">
        <v>1461</v>
      </c>
      <c r="J320" s="7"/>
      <c r="K320" s="7"/>
      <c r="L320" s="12"/>
      <c r="M320" s="13"/>
    </row>
    <row r="321" spans="1:13" ht="60" x14ac:dyDescent="0.25">
      <c r="A321" s="11" t="s">
        <v>1130</v>
      </c>
      <c r="B321" s="7" t="s">
        <v>1131</v>
      </c>
      <c r="C321" s="8">
        <v>2</v>
      </c>
      <c r="D321" s="9">
        <v>24.99</v>
      </c>
      <c r="E321" s="8">
        <v>100084504</v>
      </c>
      <c r="F321" s="7" t="s">
        <v>1132</v>
      </c>
      <c r="G321" s="11" t="s">
        <v>585</v>
      </c>
      <c r="H321" s="7" t="s">
        <v>801</v>
      </c>
      <c r="I321" s="7" t="s">
        <v>1133</v>
      </c>
      <c r="J321" s="7"/>
      <c r="K321" s="7"/>
      <c r="L321" s="12" t="str">
        <f>HYPERLINK("http://slimages.macys.com/is/image/MCY/16459935 ")</f>
        <v xml:space="preserve">http://slimages.macys.com/is/image/MCY/16459935 </v>
      </c>
      <c r="M321" s="13"/>
    </row>
    <row r="322" spans="1:13" ht="60" x14ac:dyDescent="0.25">
      <c r="A322" s="11" t="s">
        <v>1130</v>
      </c>
      <c r="B322" s="7" t="s">
        <v>1131</v>
      </c>
      <c r="C322" s="8">
        <v>4</v>
      </c>
      <c r="D322" s="9">
        <v>24.99</v>
      </c>
      <c r="E322" s="8">
        <v>100084504</v>
      </c>
      <c r="F322" s="7" t="s">
        <v>1132</v>
      </c>
      <c r="G322" s="11" t="s">
        <v>585</v>
      </c>
      <c r="H322" s="7" t="s">
        <v>801</v>
      </c>
      <c r="I322" s="7" t="s">
        <v>1133</v>
      </c>
      <c r="J322" s="7"/>
      <c r="K322" s="7"/>
      <c r="L322" s="12" t="str">
        <f>HYPERLINK("http://slimages.macys.com/is/image/MCY/16459935 ")</f>
        <v xml:space="preserve">http://slimages.macys.com/is/image/MCY/16459935 </v>
      </c>
      <c r="M322" s="13"/>
    </row>
    <row r="323" spans="1:13" ht="60" x14ac:dyDescent="0.25">
      <c r="A323" s="11" t="s">
        <v>1210</v>
      </c>
      <c r="B323" s="7" t="s">
        <v>1211</v>
      </c>
      <c r="C323" s="8">
        <v>1</v>
      </c>
      <c r="D323" s="9">
        <v>14.99</v>
      </c>
      <c r="E323" s="8" t="s">
        <v>1212</v>
      </c>
      <c r="F323" s="7" t="s">
        <v>1213</v>
      </c>
      <c r="G323" s="11" t="s">
        <v>884</v>
      </c>
      <c r="H323" s="7" t="s">
        <v>931</v>
      </c>
      <c r="I323" s="7" t="s">
        <v>1214</v>
      </c>
      <c r="J323" s="7" t="s">
        <v>52</v>
      </c>
      <c r="K323" s="7" t="s">
        <v>59</v>
      </c>
      <c r="L323" s="12" t="str">
        <f>HYPERLINK("http://slimages.macys.com/is/image/MCY/8128988 ")</f>
        <v xml:space="preserve">http://slimages.macys.com/is/image/MCY/8128988 </v>
      </c>
      <c r="M323" s="13"/>
    </row>
    <row r="324" spans="1:13" ht="60" x14ac:dyDescent="0.25">
      <c r="A324" s="11" t="s">
        <v>390</v>
      </c>
      <c r="B324" s="7" t="s">
        <v>391</v>
      </c>
      <c r="C324" s="8">
        <v>1</v>
      </c>
      <c r="D324" s="9">
        <v>74.989999999999995</v>
      </c>
      <c r="E324" s="8" t="s">
        <v>392</v>
      </c>
      <c r="F324" s="7" t="s">
        <v>43</v>
      </c>
      <c r="G324" s="11" t="s">
        <v>393</v>
      </c>
      <c r="H324" s="7" t="s">
        <v>394</v>
      </c>
      <c r="I324" s="7" t="s">
        <v>395</v>
      </c>
      <c r="J324" s="7" t="s">
        <v>52</v>
      </c>
      <c r="K324" s="7" t="s">
        <v>396</v>
      </c>
      <c r="L324" s="12" t="str">
        <f>HYPERLINK("http://slimages.macys.com/is/image/MCY/15381428 ")</f>
        <v xml:space="preserve">http://slimages.macys.com/is/image/MCY/15381428 </v>
      </c>
      <c r="M324" s="13"/>
    </row>
    <row r="325" spans="1:13" ht="60" x14ac:dyDescent="0.25">
      <c r="A325" s="11" t="s">
        <v>535</v>
      </c>
      <c r="B325" s="7" t="s">
        <v>536</v>
      </c>
      <c r="C325" s="8">
        <v>1</v>
      </c>
      <c r="D325" s="9">
        <v>59.99</v>
      </c>
      <c r="E325" s="8" t="s">
        <v>537</v>
      </c>
      <c r="F325" s="7"/>
      <c r="G325" s="11"/>
      <c r="H325" s="7" t="s">
        <v>88</v>
      </c>
      <c r="I325" s="7" t="s">
        <v>264</v>
      </c>
      <c r="J325" s="7"/>
      <c r="K325" s="7"/>
      <c r="L325" s="12" t="str">
        <f>HYPERLINK("http://slimages.macys.com/is/image/MCY/17797090 ")</f>
        <v xml:space="preserve">http://slimages.macys.com/is/image/MCY/17797090 </v>
      </c>
      <c r="M325" s="13"/>
    </row>
    <row r="326" spans="1:13" ht="72" x14ac:dyDescent="0.25">
      <c r="A326" s="11" t="s">
        <v>881</v>
      </c>
      <c r="B326" s="7" t="s">
        <v>882</v>
      </c>
      <c r="C326" s="8">
        <v>3</v>
      </c>
      <c r="D326" s="9">
        <v>50</v>
      </c>
      <c r="E326" s="8" t="s">
        <v>883</v>
      </c>
      <c r="F326" s="7" t="s">
        <v>307</v>
      </c>
      <c r="G326" s="11" t="s">
        <v>884</v>
      </c>
      <c r="H326" s="7" t="s">
        <v>720</v>
      </c>
      <c r="I326" s="7" t="s">
        <v>885</v>
      </c>
      <c r="J326" s="7" t="s">
        <v>52</v>
      </c>
      <c r="K326" s="7" t="s">
        <v>59</v>
      </c>
      <c r="L326" s="12" t="str">
        <f>HYPERLINK("http://images.bloomingdales.com/is/image/BLM/10230973 ")</f>
        <v xml:space="preserve">http://images.bloomingdales.com/is/image/BLM/10230973 </v>
      </c>
      <c r="M326" s="13"/>
    </row>
    <row r="327" spans="1:13" ht="72" x14ac:dyDescent="0.25">
      <c r="A327" s="11" t="s">
        <v>1303</v>
      </c>
      <c r="B327" s="7" t="s">
        <v>882</v>
      </c>
      <c r="C327" s="8">
        <v>2</v>
      </c>
      <c r="D327" s="9">
        <v>20</v>
      </c>
      <c r="E327" s="8" t="s">
        <v>1304</v>
      </c>
      <c r="F327" s="7" t="s">
        <v>307</v>
      </c>
      <c r="G327" s="11" t="s">
        <v>1305</v>
      </c>
      <c r="H327" s="7" t="s">
        <v>720</v>
      </c>
      <c r="I327" s="7" t="s">
        <v>885</v>
      </c>
      <c r="J327" s="7" t="s">
        <v>1306</v>
      </c>
      <c r="K327" s="7" t="s">
        <v>59</v>
      </c>
      <c r="L327" s="12" t="str">
        <f>HYPERLINK("http://images.bloomingdales.com/is/image/BLM/10230973 ")</f>
        <v xml:space="preserve">http://images.bloomingdales.com/is/image/BLM/10230973 </v>
      </c>
      <c r="M327" s="13"/>
    </row>
    <row r="328" spans="1:13" ht="72" x14ac:dyDescent="0.25">
      <c r="A328" s="11" t="s">
        <v>1317</v>
      </c>
      <c r="B328" s="7" t="s">
        <v>882</v>
      </c>
      <c r="C328" s="8">
        <v>12</v>
      </c>
      <c r="D328" s="9">
        <v>18</v>
      </c>
      <c r="E328" s="8" t="s">
        <v>1318</v>
      </c>
      <c r="F328" s="7" t="s">
        <v>307</v>
      </c>
      <c r="G328" s="11" t="s">
        <v>1316</v>
      </c>
      <c r="H328" s="7" t="s">
        <v>720</v>
      </c>
      <c r="I328" s="7" t="s">
        <v>885</v>
      </c>
      <c r="J328" s="7" t="s">
        <v>1306</v>
      </c>
      <c r="K328" s="7" t="s">
        <v>1319</v>
      </c>
      <c r="L328" s="12" t="str">
        <f>HYPERLINK("http://images.bloomingdales.com/is/image/BLM/10230973 ")</f>
        <v xml:space="preserve">http://images.bloomingdales.com/is/image/BLM/10230973 </v>
      </c>
      <c r="M328" s="13"/>
    </row>
    <row r="329" spans="1:13" ht="60" x14ac:dyDescent="0.25">
      <c r="A329" s="11" t="s">
        <v>450</v>
      </c>
      <c r="B329" s="7" t="s">
        <v>451</v>
      </c>
      <c r="C329" s="8">
        <v>2</v>
      </c>
      <c r="D329" s="9">
        <v>59.99</v>
      </c>
      <c r="E329" s="8" t="s">
        <v>452</v>
      </c>
      <c r="F329" s="7"/>
      <c r="G329" s="11"/>
      <c r="H329" s="7" t="s">
        <v>125</v>
      </c>
      <c r="I329" s="7" t="s">
        <v>453</v>
      </c>
      <c r="J329" s="7" t="s">
        <v>52</v>
      </c>
      <c r="K329" s="7" t="s">
        <v>121</v>
      </c>
      <c r="L329" s="12" t="str">
        <f>HYPERLINK("http://slimages.macys.com/is/image/MCY/8152588 ")</f>
        <v xml:space="preserve">http://slimages.macys.com/is/image/MCY/8152588 </v>
      </c>
      <c r="M329" s="13"/>
    </row>
    <row r="330" spans="1:13" ht="60" x14ac:dyDescent="0.25">
      <c r="A330" s="11" t="s">
        <v>892</v>
      </c>
      <c r="B330" s="7" t="s">
        <v>893</v>
      </c>
      <c r="C330" s="8">
        <v>1</v>
      </c>
      <c r="D330" s="9">
        <v>27.99</v>
      </c>
      <c r="E330" s="8" t="s">
        <v>894</v>
      </c>
      <c r="F330" s="7" t="s">
        <v>895</v>
      </c>
      <c r="G330" s="11"/>
      <c r="H330" s="7" t="s">
        <v>125</v>
      </c>
      <c r="I330" s="7" t="s">
        <v>453</v>
      </c>
      <c r="J330" s="7" t="s">
        <v>52</v>
      </c>
      <c r="K330" s="7" t="s">
        <v>121</v>
      </c>
      <c r="L330" s="12" t="str">
        <f>HYPERLINK("http://slimages.macys.com/is/image/MCY/2075000 ")</f>
        <v xml:space="preserve">http://slimages.macys.com/is/image/MCY/2075000 </v>
      </c>
      <c r="M330" s="13"/>
    </row>
    <row r="331" spans="1:13" ht="60" x14ac:dyDescent="0.25">
      <c r="A331" s="11" t="s">
        <v>889</v>
      </c>
      <c r="B331" s="7" t="s">
        <v>890</v>
      </c>
      <c r="C331" s="8">
        <v>3</v>
      </c>
      <c r="D331" s="9">
        <v>27.99</v>
      </c>
      <c r="E331" s="8" t="s">
        <v>891</v>
      </c>
      <c r="F331" s="7" t="s">
        <v>93</v>
      </c>
      <c r="G331" s="11"/>
      <c r="H331" s="7" t="s">
        <v>125</v>
      </c>
      <c r="I331" s="7" t="s">
        <v>453</v>
      </c>
      <c r="J331" s="7" t="s">
        <v>52</v>
      </c>
      <c r="K331" s="7" t="s">
        <v>121</v>
      </c>
      <c r="L331" s="12" t="str">
        <f>HYPERLINK("http://slimages.macys.com/is/image/MCY/2075000 ")</f>
        <v xml:space="preserve">http://slimages.macys.com/is/image/MCY/2075000 </v>
      </c>
      <c r="M331" s="13"/>
    </row>
    <row r="332" spans="1:13" ht="60" x14ac:dyDescent="0.25">
      <c r="A332" s="11" t="s">
        <v>889</v>
      </c>
      <c r="B332" s="7" t="s">
        <v>890</v>
      </c>
      <c r="C332" s="8">
        <v>3</v>
      </c>
      <c r="D332" s="9">
        <v>27.99</v>
      </c>
      <c r="E332" s="8" t="s">
        <v>891</v>
      </c>
      <c r="F332" s="7" t="s">
        <v>93</v>
      </c>
      <c r="G332" s="11"/>
      <c r="H332" s="7" t="s">
        <v>125</v>
      </c>
      <c r="I332" s="7" t="s">
        <v>453</v>
      </c>
      <c r="J332" s="7" t="s">
        <v>52</v>
      </c>
      <c r="K332" s="7" t="s">
        <v>121</v>
      </c>
      <c r="L332" s="12" t="str">
        <f>HYPERLINK("http://slimages.macys.com/is/image/MCY/2075000 ")</f>
        <v xml:space="preserve">http://slimages.macys.com/is/image/MCY/2075000 </v>
      </c>
      <c r="M332" s="13"/>
    </row>
    <row r="333" spans="1:13" ht="60" x14ac:dyDescent="0.25">
      <c r="A333" s="11" t="s">
        <v>1047</v>
      </c>
      <c r="B333" s="7" t="s">
        <v>1048</v>
      </c>
      <c r="C333" s="8">
        <v>1</v>
      </c>
      <c r="D333" s="9">
        <v>27.99</v>
      </c>
      <c r="E333" s="8" t="s">
        <v>1049</v>
      </c>
      <c r="F333" s="7" t="s">
        <v>93</v>
      </c>
      <c r="G333" s="11"/>
      <c r="H333" s="7" t="s">
        <v>125</v>
      </c>
      <c r="I333" s="7" t="s">
        <v>453</v>
      </c>
      <c r="J333" s="7" t="s">
        <v>52</v>
      </c>
      <c r="K333" s="7" t="s">
        <v>121</v>
      </c>
      <c r="L333" s="12" t="str">
        <f>HYPERLINK("http://slimages.macys.com/is/image/MCY/10943712 ")</f>
        <v xml:space="preserve">http://slimages.macys.com/is/image/MCY/10943712 </v>
      </c>
      <c r="M333" s="13"/>
    </row>
    <row r="334" spans="1:13" ht="60" x14ac:dyDescent="0.25">
      <c r="A334" s="11" t="s">
        <v>1047</v>
      </c>
      <c r="B334" s="7" t="s">
        <v>1048</v>
      </c>
      <c r="C334" s="8">
        <v>1</v>
      </c>
      <c r="D334" s="9">
        <v>27.99</v>
      </c>
      <c r="E334" s="8" t="s">
        <v>1049</v>
      </c>
      <c r="F334" s="7" t="s">
        <v>93</v>
      </c>
      <c r="G334" s="11"/>
      <c r="H334" s="7" t="s">
        <v>125</v>
      </c>
      <c r="I334" s="7" t="s">
        <v>453</v>
      </c>
      <c r="J334" s="7" t="s">
        <v>52</v>
      </c>
      <c r="K334" s="7" t="s">
        <v>121</v>
      </c>
      <c r="L334" s="12" t="str">
        <f>HYPERLINK("http://slimages.macys.com/is/image/MCY/10943712 ")</f>
        <v xml:space="preserve">http://slimages.macys.com/is/image/MCY/10943712 </v>
      </c>
      <c r="M334" s="13"/>
    </row>
    <row r="335" spans="1:13" ht="60" x14ac:dyDescent="0.25">
      <c r="A335" s="11" t="s">
        <v>1099</v>
      </c>
      <c r="B335" s="7" t="s">
        <v>1100</v>
      </c>
      <c r="C335" s="8">
        <v>6</v>
      </c>
      <c r="D335" s="9">
        <v>20.99</v>
      </c>
      <c r="E335" s="8" t="s">
        <v>1101</v>
      </c>
      <c r="F335" s="7" t="s">
        <v>557</v>
      </c>
      <c r="G335" s="11"/>
      <c r="H335" s="7" t="s">
        <v>125</v>
      </c>
      <c r="I335" s="7" t="s">
        <v>453</v>
      </c>
      <c r="J335" s="7" t="s">
        <v>52</v>
      </c>
      <c r="K335" s="7"/>
      <c r="L335" s="12" t="str">
        <f>HYPERLINK("http://slimages.macys.com/is/image/MCY/9211725 ")</f>
        <v xml:space="preserve">http://slimages.macys.com/is/image/MCY/9211725 </v>
      </c>
      <c r="M335" s="13"/>
    </row>
    <row r="336" spans="1:13" ht="60" x14ac:dyDescent="0.25">
      <c r="A336" s="11" t="s">
        <v>1099</v>
      </c>
      <c r="B336" s="7" t="s">
        <v>1100</v>
      </c>
      <c r="C336" s="8">
        <v>5</v>
      </c>
      <c r="D336" s="9">
        <v>20.99</v>
      </c>
      <c r="E336" s="8" t="s">
        <v>1101</v>
      </c>
      <c r="F336" s="7" t="s">
        <v>557</v>
      </c>
      <c r="G336" s="11"/>
      <c r="H336" s="7" t="s">
        <v>125</v>
      </c>
      <c r="I336" s="7" t="s">
        <v>453</v>
      </c>
      <c r="J336" s="7" t="s">
        <v>52</v>
      </c>
      <c r="K336" s="7"/>
      <c r="L336" s="12" t="str">
        <f>HYPERLINK("http://slimages.macys.com/is/image/MCY/9211725 ")</f>
        <v xml:space="preserve">http://slimages.macys.com/is/image/MCY/9211725 </v>
      </c>
      <c r="M336" s="13"/>
    </row>
    <row r="337" spans="1:13" ht="60" x14ac:dyDescent="0.25">
      <c r="A337" s="11" t="s">
        <v>1244</v>
      </c>
      <c r="B337" s="7" t="s">
        <v>1245</v>
      </c>
      <c r="C337" s="8">
        <v>1</v>
      </c>
      <c r="D337" s="9">
        <v>14.99</v>
      </c>
      <c r="E337" s="8" t="s">
        <v>1246</v>
      </c>
      <c r="F337" s="7" t="s">
        <v>43</v>
      </c>
      <c r="G337" s="11"/>
      <c r="H337" s="7" t="s">
        <v>125</v>
      </c>
      <c r="I337" s="7" t="s">
        <v>453</v>
      </c>
      <c r="J337" s="7" t="s">
        <v>52</v>
      </c>
      <c r="K337" s="7" t="s">
        <v>121</v>
      </c>
      <c r="L337" s="12" t="str">
        <f>HYPERLINK("http://slimages.macys.com/is/image/MCY/3135987 ")</f>
        <v xml:space="preserve">http://slimages.macys.com/is/image/MCY/3135987 </v>
      </c>
      <c r="M337" s="13"/>
    </row>
    <row r="338" spans="1:13" ht="60" x14ac:dyDescent="0.25">
      <c r="A338" s="11" t="s">
        <v>1247</v>
      </c>
      <c r="B338" s="7" t="s">
        <v>1248</v>
      </c>
      <c r="C338" s="8">
        <v>1</v>
      </c>
      <c r="D338" s="9">
        <v>11.99</v>
      </c>
      <c r="E338" s="8" t="s">
        <v>1249</v>
      </c>
      <c r="F338" s="7" t="s">
        <v>642</v>
      </c>
      <c r="G338" s="11"/>
      <c r="H338" s="7" t="s">
        <v>125</v>
      </c>
      <c r="I338" s="7" t="s">
        <v>453</v>
      </c>
      <c r="J338" s="7" t="s">
        <v>52</v>
      </c>
      <c r="K338" s="7" t="s">
        <v>121</v>
      </c>
      <c r="L338" s="12" t="str">
        <f>HYPERLINK("http://slimages.macys.com/is/image/MCY/935272 ")</f>
        <v xml:space="preserve">http://slimages.macys.com/is/image/MCY/935272 </v>
      </c>
      <c r="M338" s="13"/>
    </row>
    <row r="339" spans="1:13" ht="60" x14ac:dyDescent="0.25">
      <c r="A339" s="11" t="s">
        <v>1300</v>
      </c>
      <c r="B339" s="7" t="s">
        <v>1301</v>
      </c>
      <c r="C339" s="8">
        <v>1</v>
      </c>
      <c r="D339" s="9">
        <v>10.99</v>
      </c>
      <c r="E339" s="8" t="s">
        <v>1302</v>
      </c>
      <c r="F339" s="7" t="s">
        <v>969</v>
      </c>
      <c r="G339" s="11"/>
      <c r="H339" s="7" t="s">
        <v>125</v>
      </c>
      <c r="I339" s="7" t="s">
        <v>453</v>
      </c>
      <c r="J339" s="7" t="s">
        <v>52</v>
      </c>
      <c r="K339" s="7" t="s">
        <v>121</v>
      </c>
      <c r="L339" s="12" t="str">
        <f>HYPERLINK("http://slimages.macys.com/is/image/MCY/935272 ")</f>
        <v xml:space="preserve">http://slimages.macys.com/is/image/MCY/935272 </v>
      </c>
      <c r="M339" s="13"/>
    </row>
    <row r="340" spans="1:13" ht="60" x14ac:dyDescent="0.25">
      <c r="A340" s="11" t="s">
        <v>1285</v>
      </c>
      <c r="B340" s="7" t="s">
        <v>1286</v>
      </c>
      <c r="C340" s="8">
        <v>2</v>
      </c>
      <c r="D340" s="9">
        <v>11.99</v>
      </c>
      <c r="E340" s="8" t="s">
        <v>1287</v>
      </c>
      <c r="F340" s="7" t="s">
        <v>190</v>
      </c>
      <c r="G340" s="11"/>
      <c r="H340" s="7" t="s">
        <v>125</v>
      </c>
      <c r="I340" s="7" t="s">
        <v>453</v>
      </c>
      <c r="J340" s="7" t="s">
        <v>52</v>
      </c>
      <c r="K340" s="7" t="s">
        <v>121</v>
      </c>
      <c r="L340" s="12" t="str">
        <f>HYPERLINK("http://slimages.macys.com/is/image/MCY/935272 ")</f>
        <v xml:space="preserve">http://slimages.macys.com/is/image/MCY/935272 </v>
      </c>
      <c r="M340" s="13"/>
    </row>
    <row r="341" spans="1:13" ht="60" x14ac:dyDescent="0.25">
      <c r="A341" s="11" t="s">
        <v>1234</v>
      </c>
      <c r="B341" s="7" t="s">
        <v>1235</v>
      </c>
      <c r="C341" s="8">
        <v>1</v>
      </c>
      <c r="D341" s="9">
        <v>14.99</v>
      </c>
      <c r="E341" s="8" t="s">
        <v>1236</v>
      </c>
      <c r="F341" s="7" t="s">
        <v>1237</v>
      </c>
      <c r="G341" s="11" t="s">
        <v>727</v>
      </c>
      <c r="H341" s="7" t="s">
        <v>125</v>
      </c>
      <c r="I341" s="7" t="s">
        <v>1224</v>
      </c>
      <c r="J341" s="7"/>
      <c r="K341" s="7"/>
      <c r="L341" s="12" t="str">
        <f t="shared" ref="L341:L346" si="3">HYPERLINK("http://slimages.macys.com/is/image/MCY/17620637 ")</f>
        <v xml:space="preserve">http://slimages.macys.com/is/image/MCY/17620637 </v>
      </c>
      <c r="M341" s="13"/>
    </row>
    <row r="342" spans="1:13" ht="60" x14ac:dyDescent="0.25">
      <c r="A342" s="11" t="s">
        <v>1228</v>
      </c>
      <c r="B342" s="7" t="s">
        <v>1229</v>
      </c>
      <c r="C342" s="8">
        <v>10</v>
      </c>
      <c r="D342" s="9">
        <v>14.99</v>
      </c>
      <c r="E342" s="8" t="s">
        <v>1230</v>
      </c>
      <c r="F342" s="7" t="s">
        <v>108</v>
      </c>
      <c r="G342" s="11" t="s">
        <v>727</v>
      </c>
      <c r="H342" s="7" t="s">
        <v>125</v>
      </c>
      <c r="I342" s="7" t="s">
        <v>1224</v>
      </c>
      <c r="J342" s="7"/>
      <c r="K342" s="7"/>
      <c r="L342" s="12" t="str">
        <f t="shared" si="3"/>
        <v xml:space="preserve">http://slimages.macys.com/is/image/MCY/17620637 </v>
      </c>
      <c r="M342" s="13"/>
    </row>
    <row r="343" spans="1:13" ht="60" x14ac:dyDescent="0.25">
      <c r="A343" s="11" t="s">
        <v>1228</v>
      </c>
      <c r="B343" s="7" t="s">
        <v>1229</v>
      </c>
      <c r="C343" s="8">
        <v>9</v>
      </c>
      <c r="D343" s="9">
        <v>14.99</v>
      </c>
      <c r="E343" s="8" t="s">
        <v>1230</v>
      </c>
      <c r="F343" s="7" t="s">
        <v>108</v>
      </c>
      <c r="G343" s="11" t="s">
        <v>727</v>
      </c>
      <c r="H343" s="7" t="s">
        <v>125</v>
      </c>
      <c r="I343" s="7" t="s">
        <v>1224</v>
      </c>
      <c r="J343" s="7"/>
      <c r="K343" s="7"/>
      <c r="L343" s="12" t="str">
        <f t="shared" si="3"/>
        <v xml:space="preserve">http://slimages.macys.com/is/image/MCY/17620637 </v>
      </c>
      <c r="M343" s="13"/>
    </row>
    <row r="344" spans="1:13" ht="60" x14ac:dyDescent="0.25">
      <c r="A344" s="11" t="s">
        <v>1228</v>
      </c>
      <c r="B344" s="7" t="s">
        <v>1229</v>
      </c>
      <c r="C344" s="8">
        <v>2</v>
      </c>
      <c r="D344" s="9">
        <v>14.99</v>
      </c>
      <c r="E344" s="8" t="s">
        <v>1230</v>
      </c>
      <c r="F344" s="7" t="s">
        <v>108</v>
      </c>
      <c r="G344" s="11" t="s">
        <v>727</v>
      </c>
      <c r="H344" s="7" t="s">
        <v>125</v>
      </c>
      <c r="I344" s="7" t="s">
        <v>1224</v>
      </c>
      <c r="J344" s="7"/>
      <c r="K344" s="7"/>
      <c r="L344" s="12" t="str">
        <f t="shared" si="3"/>
        <v xml:space="preserve">http://slimages.macys.com/is/image/MCY/17620637 </v>
      </c>
      <c r="M344" s="13"/>
    </row>
    <row r="345" spans="1:13" ht="60" x14ac:dyDescent="0.25">
      <c r="A345" s="11" t="s">
        <v>1228</v>
      </c>
      <c r="B345" s="7" t="s">
        <v>1229</v>
      </c>
      <c r="C345" s="8">
        <v>3</v>
      </c>
      <c r="D345" s="9">
        <v>14.99</v>
      </c>
      <c r="E345" s="8" t="s">
        <v>1230</v>
      </c>
      <c r="F345" s="7" t="s">
        <v>108</v>
      </c>
      <c r="G345" s="11" t="s">
        <v>727</v>
      </c>
      <c r="H345" s="7" t="s">
        <v>125</v>
      </c>
      <c r="I345" s="7" t="s">
        <v>1224</v>
      </c>
      <c r="J345" s="7"/>
      <c r="K345" s="7"/>
      <c r="L345" s="12" t="str">
        <f t="shared" si="3"/>
        <v xml:space="preserve">http://slimages.macys.com/is/image/MCY/17620637 </v>
      </c>
      <c r="M345" s="13"/>
    </row>
    <row r="346" spans="1:13" ht="60" x14ac:dyDescent="0.25">
      <c r="A346" s="11" t="s">
        <v>1228</v>
      </c>
      <c r="B346" s="7" t="s">
        <v>1229</v>
      </c>
      <c r="C346" s="8">
        <v>2</v>
      </c>
      <c r="D346" s="9">
        <v>14.99</v>
      </c>
      <c r="E346" s="8" t="s">
        <v>1230</v>
      </c>
      <c r="F346" s="7" t="s">
        <v>108</v>
      </c>
      <c r="G346" s="11" t="s">
        <v>727</v>
      </c>
      <c r="H346" s="7" t="s">
        <v>125</v>
      </c>
      <c r="I346" s="7" t="s">
        <v>1224</v>
      </c>
      <c r="J346" s="7"/>
      <c r="K346" s="7"/>
      <c r="L346" s="12" t="str">
        <f t="shared" si="3"/>
        <v xml:space="preserve">http://slimages.macys.com/is/image/MCY/17620637 </v>
      </c>
      <c r="M346" s="13"/>
    </row>
    <row r="347" spans="1:13" ht="60" x14ac:dyDescent="0.25">
      <c r="A347" s="11" t="s">
        <v>1231</v>
      </c>
      <c r="B347" s="7" t="s">
        <v>1232</v>
      </c>
      <c r="C347" s="8">
        <v>3</v>
      </c>
      <c r="D347" s="9">
        <v>14.99</v>
      </c>
      <c r="E347" s="8" t="s">
        <v>1233</v>
      </c>
      <c r="F347" s="7" t="s">
        <v>642</v>
      </c>
      <c r="G347" s="11" t="s">
        <v>727</v>
      </c>
      <c r="H347" s="7" t="s">
        <v>125</v>
      </c>
      <c r="I347" s="7" t="s">
        <v>1224</v>
      </c>
      <c r="J347" s="7"/>
      <c r="K347" s="7"/>
      <c r="L347" s="12" t="str">
        <f>HYPERLINK("http://slimages.macys.com/is/image/MCY/17620635 ")</f>
        <v xml:space="preserve">http://slimages.macys.com/is/image/MCY/17620635 </v>
      </c>
      <c r="M347" s="13"/>
    </row>
    <row r="348" spans="1:13" ht="60" x14ac:dyDescent="0.25">
      <c r="A348" s="11" t="s">
        <v>1279</v>
      </c>
      <c r="B348" s="7" t="s">
        <v>1280</v>
      </c>
      <c r="C348" s="8">
        <v>1</v>
      </c>
      <c r="D348" s="9">
        <v>14.99</v>
      </c>
      <c r="E348" s="8" t="s">
        <v>1281</v>
      </c>
      <c r="F348" s="7" t="s">
        <v>494</v>
      </c>
      <c r="G348" s="11" t="s">
        <v>727</v>
      </c>
      <c r="H348" s="7" t="s">
        <v>125</v>
      </c>
      <c r="I348" s="7" t="s">
        <v>1224</v>
      </c>
      <c r="J348" s="7"/>
      <c r="K348" s="7"/>
      <c r="L348" s="12" t="str">
        <f>HYPERLINK("http://slimages.macys.com/is/image/MCY/18158644 ")</f>
        <v xml:space="preserve">http://slimages.macys.com/is/image/MCY/18158644 </v>
      </c>
      <c r="M348" s="13"/>
    </row>
    <row r="349" spans="1:13" ht="60" x14ac:dyDescent="0.25">
      <c r="A349" s="11" t="s">
        <v>1279</v>
      </c>
      <c r="B349" s="7" t="s">
        <v>1280</v>
      </c>
      <c r="C349" s="8">
        <v>1</v>
      </c>
      <c r="D349" s="9">
        <v>14.99</v>
      </c>
      <c r="E349" s="8" t="s">
        <v>1281</v>
      </c>
      <c r="F349" s="7" t="s">
        <v>494</v>
      </c>
      <c r="G349" s="11" t="s">
        <v>727</v>
      </c>
      <c r="H349" s="7" t="s">
        <v>125</v>
      </c>
      <c r="I349" s="7" t="s">
        <v>1224</v>
      </c>
      <c r="J349" s="7"/>
      <c r="K349" s="7"/>
      <c r="L349" s="12" t="str">
        <f>HYPERLINK("http://slimages.macys.com/is/image/MCY/18158644 ")</f>
        <v xml:space="preserve">http://slimages.macys.com/is/image/MCY/18158644 </v>
      </c>
      <c r="M349" s="13"/>
    </row>
    <row r="350" spans="1:13" ht="60" x14ac:dyDescent="0.25">
      <c r="A350" s="11" t="s">
        <v>1276</v>
      </c>
      <c r="B350" s="7" t="s">
        <v>1277</v>
      </c>
      <c r="C350" s="8">
        <v>1</v>
      </c>
      <c r="D350" s="9">
        <v>14.99</v>
      </c>
      <c r="E350" s="8" t="s">
        <v>1278</v>
      </c>
      <c r="F350" s="7" t="s">
        <v>313</v>
      </c>
      <c r="G350" s="11" t="s">
        <v>727</v>
      </c>
      <c r="H350" s="7" t="s">
        <v>125</v>
      </c>
      <c r="I350" s="7" t="s">
        <v>1224</v>
      </c>
      <c r="J350" s="7"/>
      <c r="K350" s="7"/>
      <c r="L350" s="12" t="str">
        <f>HYPERLINK("http://slimages.macys.com/is/image/MCY/18158644 ")</f>
        <v xml:space="preserve">http://slimages.macys.com/is/image/MCY/18158644 </v>
      </c>
      <c r="M350" s="13"/>
    </row>
    <row r="351" spans="1:13" ht="60" x14ac:dyDescent="0.25">
      <c r="A351" s="11" t="s">
        <v>1276</v>
      </c>
      <c r="B351" s="7" t="s">
        <v>1277</v>
      </c>
      <c r="C351" s="8">
        <v>1</v>
      </c>
      <c r="D351" s="9">
        <v>14.99</v>
      </c>
      <c r="E351" s="8" t="s">
        <v>1278</v>
      </c>
      <c r="F351" s="7" t="s">
        <v>313</v>
      </c>
      <c r="G351" s="11" t="s">
        <v>727</v>
      </c>
      <c r="H351" s="7" t="s">
        <v>125</v>
      </c>
      <c r="I351" s="7" t="s">
        <v>1224</v>
      </c>
      <c r="J351" s="7"/>
      <c r="K351" s="7"/>
      <c r="L351" s="12" t="str">
        <f>HYPERLINK("http://slimages.macys.com/is/image/MCY/18158644 ")</f>
        <v xml:space="preserve">http://slimages.macys.com/is/image/MCY/18158644 </v>
      </c>
      <c r="M351" s="13"/>
    </row>
    <row r="352" spans="1:13" ht="60" x14ac:dyDescent="0.25">
      <c r="A352" s="11" t="s">
        <v>1276</v>
      </c>
      <c r="B352" s="7" t="s">
        <v>1277</v>
      </c>
      <c r="C352" s="8">
        <v>1</v>
      </c>
      <c r="D352" s="9">
        <v>14.99</v>
      </c>
      <c r="E352" s="8" t="s">
        <v>1278</v>
      </c>
      <c r="F352" s="7" t="s">
        <v>313</v>
      </c>
      <c r="G352" s="11" t="s">
        <v>727</v>
      </c>
      <c r="H352" s="7" t="s">
        <v>125</v>
      </c>
      <c r="I352" s="7" t="s">
        <v>1224</v>
      </c>
      <c r="J352" s="7"/>
      <c r="K352" s="7"/>
      <c r="L352" s="12" t="str">
        <f>HYPERLINK("http://slimages.macys.com/is/image/MCY/18158644 ")</f>
        <v xml:space="preserve">http://slimages.macys.com/is/image/MCY/18158644 </v>
      </c>
      <c r="M352" s="13"/>
    </row>
    <row r="353" spans="1:13" ht="60" x14ac:dyDescent="0.25">
      <c r="A353" s="11" t="s">
        <v>1221</v>
      </c>
      <c r="B353" s="7" t="s">
        <v>1222</v>
      </c>
      <c r="C353" s="8">
        <v>2</v>
      </c>
      <c r="D353" s="9">
        <v>19.989999999999998</v>
      </c>
      <c r="E353" s="8" t="s">
        <v>1223</v>
      </c>
      <c r="F353" s="7" t="s">
        <v>93</v>
      </c>
      <c r="G353" s="11" t="s">
        <v>727</v>
      </c>
      <c r="H353" s="7" t="s">
        <v>125</v>
      </c>
      <c r="I353" s="7" t="s">
        <v>1224</v>
      </c>
      <c r="J353" s="7"/>
      <c r="K353" s="7"/>
      <c r="L353" s="12" t="str">
        <f>HYPERLINK("http://slimages.macys.com/is/image/MCY/18158640 ")</f>
        <v xml:space="preserve">http://slimages.macys.com/is/image/MCY/18158640 </v>
      </c>
      <c r="M353" s="13"/>
    </row>
    <row r="354" spans="1:13" ht="60" x14ac:dyDescent="0.25">
      <c r="A354" s="11" t="s">
        <v>1221</v>
      </c>
      <c r="B354" s="7" t="s">
        <v>1222</v>
      </c>
      <c r="C354" s="8">
        <v>1</v>
      </c>
      <c r="D354" s="9">
        <v>19.989999999999998</v>
      </c>
      <c r="E354" s="8" t="s">
        <v>1223</v>
      </c>
      <c r="F354" s="7" t="s">
        <v>93</v>
      </c>
      <c r="G354" s="11" t="s">
        <v>727</v>
      </c>
      <c r="H354" s="7" t="s">
        <v>125</v>
      </c>
      <c r="I354" s="7" t="s">
        <v>1224</v>
      </c>
      <c r="J354" s="7"/>
      <c r="K354" s="7"/>
      <c r="L354" s="12" t="str">
        <f>HYPERLINK("http://slimages.macys.com/is/image/MCY/18158640 ")</f>
        <v xml:space="preserve">http://slimages.macys.com/is/image/MCY/18158640 </v>
      </c>
      <c r="M354" s="13"/>
    </row>
    <row r="355" spans="1:13" ht="60" x14ac:dyDescent="0.25">
      <c r="A355" s="11" t="s">
        <v>1221</v>
      </c>
      <c r="B355" s="7" t="s">
        <v>1222</v>
      </c>
      <c r="C355" s="8">
        <v>3</v>
      </c>
      <c r="D355" s="9">
        <v>19.989999999999998</v>
      </c>
      <c r="E355" s="8" t="s">
        <v>1223</v>
      </c>
      <c r="F355" s="7" t="s">
        <v>93</v>
      </c>
      <c r="G355" s="11" t="s">
        <v>727</v>
      </c>
      <c r="H355" s="7" t="s">
        <v>125</v>
      </c>
      <c r="I355" s="7" t="s">
        <v>1224</v>
      </c>
      <c r="J355" s="7"/>
      <c r="K355" s="7"/>
      <c r="L355" s="12" t="str">
        <f>HYPERLINK("http://slimages.macys.com/is/image/MCY/18158640 ")</f>
        <v xml:space="preserve">http://slimages.macys.com/is/image/MCY/18158640 </v>
      </c>
      <c r="M355" s="13"/>
    </row>
    <row r="356" spans="1:13" ht="60" x14ac:dyDescent="0.25">
      <c r="A356" s="11" t="s">
        <v>1206</v>
      </c>
      <c r="B356" s="7" t="s">
        <v>1207</v>
      </c>
      <c r="C356" s="8">
        <v>1</v>
      </c>
      <c r="D356" s="9">
        <v>12.99</v>
      </c>
      <c r="E356" s="8" t="s">
        <v>1208</v>
      </c>
      <c r="F356" s="7" t="s">
        <v>217</v>
      </c>
      <c r="G356" s="11" t="s">
        <v>269</v>
      </c>
      <c r="H356" s="7" t="s">
        <v>125</v>
      </c>
      <c r="I356" s="7" t="s">
        <v>1209</v>
      </c>
      <c r="J356" s="7"/>
      <c r="K356" s="7"/>
      <c r="L356" s="12" t="str">
        <f>HYPERLINK("http://slimages.macys.com/is/image/MCY/17155343 ")</f>
        <v xml:space="preserve">http://slimages.macys.com/is/image/MCY/17155343 </v>
      </c>
      <c r="M356" s="13"/>
    </row>
    <row r="357" spans="1:13" ht="72" x14ac:dyDescent="0.25">
      <c r="A357" s="11" t="s">
        <v>717</v>
      </c>
      <c r="B357" s="7" t="s">
        <v>718</v>
      </c>
      <c r="C357" s="8">
        <v>1</v>
      </c>
      <c r="D357" s="9">
        <v>35</v>
      </c>
      <c r="E357" s="8" t="s">
        <v>719</v>
      </c>
      <c r="F357" s="7"/>
      <c r="G357" s="11" t="s">
        <v>269</v>
      </c>
      <c r="H357" s="7" t="s">
        <v>720</v>
      </c>
      <c r="I357" s="7" t="s">
        <v>721</v>
      </c>
      <c r="J357" s="7" t="s">
        <v>58</v>
      </c>
      <c r="K357" s="7" t="s">
        <v>722</v>
      </c>
      <c r="L357" s="12" t="str">
        <f>HYPERLINK("http://images.bloomingdales.com/is/image/BLM/11129646 ")</f>
        <v xml:space="preserve">http://images.bloomingdales.com/is/image/BLM/11129646 </v>
      </c>
      <c r="M357" s="13"/>
    </row>
    <row r="358" spans="1:13" ht="24" x14ac:dyDescent="0.25">
      <c r="A358" s="11" t="s">
        <v>1446</v>
      </c>
      <c r="B358" s="7" t="s">
        <v>1447</v>
      </c>
      <c r="C358" s="8">
        <v>1</v>
      </c>
      <c r="D358" s="9">
        <v>19.989999999999998</v>
      </c>
      <c r="E358" s="8" t="s">
        <v>1448</v>
      </c>
      <c r="F358" s="7" t="s">
        <v>49</v>
      </c>
      <c r="G358" s="11"/>
      <c r="H358" s="7" t="s">
        <v>125</v>
      </c>
      <c r="I358" s="7" t="s">
        <v>203</v>
      </c>
      <c r="J358" s="7"/>
      <c r="K358" s="7"/>
      <c r="L358" s="12"/>
      <c r="M358" s="13"/>
    </row>
    <row r="359" spans="1:13" ht="60" x14ac:dyDescent="0.25">
      <c r="A359" s="11" t="s">
        <v>595</v>
      </c>
      <c r="B359" s="7" t="s">
        <v>596</v>
      </c>
      <c r="C359" s="8">
        <v>1</v>
      </c>
      <c r="D359" s="9">
        <v>49.99</v>
      </c>
      <c r="E359" s="8" t="s">
        <v>597</v>
      </c>
      <c r="F359" s="7"/>
      <c r="G359" s="11"/>
      <c r="H359" s="7" t="s">
        <v>88</v>
      </c>
      <c r="I359" s="7" t="s">
        <v>203</v>
      </c>
      <c r="J359" s="7" t="s">
        <v>52</v>
      </c>
      <c r="K359" s="7"/>
      <c r="L359" s="12" t="str">
        <f>HYPERLINK("http://slimages.macys.com/is/image/MCY/8611229 ")</f>
        <v xml:space="preserve">http://slimages.macys.com/is/image/MCY/8611229 </v>
      </c>
      <c r="M359" s="13"/>
    </row>
    <row r="360" spans="1:13" ht="60" x14ac:dyDescent="0.25">
      <c r="A360" s="11" t="s">
        <v>598</v>
      </c>
      <c r="B360" s="7" t="s">
        <v>599</v>
      </c>
      <c r="C360" s="8">
        <v>1</v>
      </c>
      <c r="D360" s="9">
        <v>49.99</v>
      </c>
      <c r="E360" s="8" t="s">
        <v>600</v>
      </c>
      <c r="F360" s="7" t="s">
        <v>43</v>
      </c>
      <c r="G360" s="11"/>
      <c r="H360" s="7" t="s">
        <v>98</v>
      </c>
      <c r="I360" s="7" t="s">
        <v>601</v>
      </c>
      <c r="J360" s="7" t="s">
        <v>52</v>
      </c>
      <c r="K360" s="7"/>
      <c r="L360" s="12" t="str">
        <f>HYPERLINK("http://slimages.macys.com/is/image/MCY/10171041 ")</f>
        <v xml:space="preserve">http://slimages.macys.com/is/image/MCY/10171041 </v>
      </c>
      <c r="M360" s="13"/>
    </row>
    <row r="361" spans="1:13" ht="60" x14ac:dyDescent="0.25">
      <c r="A361" s="11" t="s">
        <v>775</v>
      </c>
      <c r="B361" s="7" t="s">
        <v>776</v>
      </c>
      <c r="C361" s="8">
        <v>1</v>
      </c>
      <c r="D361" s="9">
        <v>39.99</v>
      </c>
      <c r="E361" s="8">
        <v>226440</v>
      </c>
      <c r="F361" s="7" t="s">
        <v>108</v>
      </c>
      <c r="G361" s="11"/>
      <c r="H361" s="7" t="s">
        <v>98</v>
      </c>
      <c r="I361" s="7" t="s">
        <v>601</v>
      </c>
      <c r="J361" s="7" t="s">
        <v>52</v>
      </c>
      <c r="K361" s="7" t="s">
        <v>229</v>
      </c>
      <c r="L361" s="12" t="str">
        <f>HYPERLINK("http://slimages.macys.com/is/image/MCY/1760486 ")</f>
        <v xml:space="preserve">http://slimages.macys.com/is/image/MCY/1760486 </v>
      </c>
      <c r="M361" s="13"/>
    </row>
    <row r="362" spans="1:13" ht="60" x14ac:dyDescent="0.25">
      <c r="A362" s="11" t="s">
        <v>1167</v>
      </c>
      <c r="B362" s="7" t="s">
        <v>1168</v>
      </c>
      <c r="C362" s="8">
        <v>4</v>
      </c>
      <c r="D362" s="9">
        <v>17.989999999999998</v>
      </c>
      <c r="E362" s="8">
        <v>43342</v>
      </c>
      <c r="F362" s="7" t="s">
        <v>87</v>
      </c>
      <c r="G362" s="11" t="s">
        <v>1169</v>
      </c>
      <c r="H362" s="7" t="s">
        <v>125</v>
      </c>
      <c r="I362" s="7" t="s">
        <v>1053</v>
      </c>
      <c r="J362" s="7" t="s">
        <v>52</v>
      </c>
      <c r="K362" s="7" t="s">
        <v>121</v>
      </c>
      <c r="L362" s="12" t="str">
        <f>HYPERLINK("http://slimages.macys.com/is/image/MCY/10009173 ")</f>
        <v xml:space="preserve">http://slimages.macys.com/is/image/MCY/10009173 </v>
      </c>
      <c r="M362" s="13"/>
    </row>
    <row r="363" spans="1:13" ht="60" x14ac:dyDescent="0.25">
      <c r="A363" s="11" t="s">
        <v>1167</v>
      </c>
      <c r="B363" s="7" t="s">
        <v>1168</v>
      </c>
      <c r="C363" s="8">
        <v>2</v>
      </c>
      <c r="D363" s="9">
        <v>17.989999999999998</v>
      </c>
      <c r="E363" s="8">
        <v>43342</v>
      </c>
      <c r="F363" s="7" t="s">
        <v>87</v>
      </c>
      <c r="G363" s="11" t="s">
        <v>1169</v>
      </c>
      <c r="H363" s="7" t="s">
        <v>125</v>
      </c>
      <c r="I363" s="7" t="s">
        <v>1053</v>
      </c>
      <c r="J363" s="7" t="s">
        <v>52</v>
      </c>
      <c r="K363" s="7" t="s">
        <v>121</v>
      </c>
      <c r="L363" s="12" t="str">
        <f>HYPERLINK("http://slimages.macys.com/is/image/MCY/10009173 ")</f>
        <v xml:space="preserve">http://slimages.macys.com/is/image/MCY/10009173 </v>
      </c>
      <c r="M363" s="13"/>
    </row>
    <row r="364" spans="1:13" ht="60" x14ac:dyDescent="0.25">
      <c r="A364" s="11" t="s">
        <v>1320</v>
      </c>
      <c r="B364" s="7" t="s">
        <v>1321</v>
      </c>
      <c r="C364" s="8">
        <v>6</v>
      </c>
      <c r="D364" s="9">
        <v>9.99</v>
      </c>
      <c r="E364" s="8">
        <v>25005</v>
      </c>
      <c r="F364" s="7" t="s">
        <v>217</v>
      </c>
      <c r="G364" s="11"/>
      <c r="H364" s="7" t="s">
        <v>125</v>
      </c>
      <c r="I364" s="7" t="s">
        <v>1053</v>
      </c>
      <c r="J364" s="7" t="s">
        <v>52</v>
      </c>
      <c r="K364" s="7" t="s">
        <v>121</v>
      </c>
      <c r="L364" s="12" t="str">
        <f>HYPERLINK("http://slimages.macys.com/is/image/MCY/10004247 ")</f>
        <v xml:space="preserve">http://slimages.macys.com/is/image/MCY/10004247 </v>
      </c>
      <c r="M364" s="13"/>
    </row>
    <row r="365" spans="1:13" ht="60" x14ac:dyDescent="0.25">
      <c r="A365" s="11" t="s">
        <v>199</v>
      </c>
      <c r="B365" s="7" t="s">
        <v>200</v>
      </c>
      <c r="C365" s="8">
        <v>1</v>
      </c>
      <c r="D365" s="9">
        <v>122.99</v>
      </c>
      <c r="E365" s="8" t="s">
        <v>201</v>
      </c>
      <c r="F365" s="7" t="s">
        <v>202</v>
      </c>
      <c r="G365" s="11"/>
      <c r="H365" s="7" t="s">
        <v>88</v>
      </c>
      <c r="I365" s="7" t="s">
        <v>203</v>
      </c>
      <c r="J365" s="7" t="s">
        <v>52</v>
      </c>
      <c r="K365" s="7" t="s">
        <v>59</v>
      </c>
      <c r="L365" s="12" t="str">
        <f>HYPERLINK("http://slimages.macys.com/is/image/MCY/13345734 ")</f>
        <v xml:space="preserve">http://slimages.macys.com/is/image/MCY/13345734 </v>
      </c>
      <c r="M365" s="13"/>
    </row>
    <row r="366" spans="1:13" ht="60" x14ac:dyDescent="0.25">
      <c r="A366" s="11" t="s">
        <v>1273</v>
      </c>
      <c r="B366" s="7" t="s">
        <v>1274</v>
      </c>
      <c r="C366" s="8">
        <v>1</v>
      </c>
      <c r="D366" s="9">
        <v>19.989999999999998</v>
      </c>
      <c r="E366" s="8" t="s">
        <v>1275</v>
      </c>
      <c r="F366" s="7" t="s">
        <v>167</v>
      </c>
      <c r="G366" s="11" t="s">
        <v>377</v>
      </c>
      <c r="H366" s="7" t="s">
        <v>125</v>
      </c>
      <c r="I366" s="7" t="s">
        <v>578</v>
      </c>
      <c r="J366" s="7" t="s">
        <v>52</v>
      </c>
      <c r="K366" s="7" t="s">
        <v>110</v>
      </c>
      <c r="L366" s="12" t="str">
        <f>HYPERLINK("http://slimages.macys.com/is/image/MCY/12265709 ")</f>
        <v xml:space="preserve">http://slimages.macys.com/is/image/MCY/12265709 </v>
      </c>
      <c r="M366" s="13"/>
    </row>
    <row r="367" spans="1:13" ht="60" x14ac:dyDescent="0.25">
      <c r="A367" s="11" t="s">
        <v>208</v>
      </c>
      <c r="B367" s="7" t="s">
        <v>209</v>
      </c>
      <c r="C367" s="8">
        <v>2</v>
      </c>
      <c r="D367" s="9">
        <v>144.99</v>
      </c>
      <c r="E367" s="8" t="s">
        <v>210</v>
      </c>
      <c r="F367" s="7" t="s">
        <v>93</v>
      </c>
      <c r="G367" s="11"/>
      <c r="H367" s="7" t="s">
        <v>88</v>
      </c>
      <c r="I367" s="7" t="s">
        <v>203</v>
      </c>
      <c r="J367" s="7" t="s">
        <v>52</v>
      </c>
      <c r="K367" s="7" t="s">
        <v>121</v>
      </c>
      <c r="L367" s="12" t="str">
        <f>HYPERLINK("http://slimages.macys.com/is/image/MCY/16409192 ")</f>
        <v xml:space="preserve">http://slimages.macys.com/is/image/MCY/16409192 </v>
      </c>
      <c r="M367" s="13"/>
    </row>
    <row r="368" spans="1:13" ht="60" x14ac:dyDescent="0.25">
      <c r="A368" s="11" t="s">
        <v>1036</v>
      </c>
      <c r="B368" s="7" t="s">
        <v>1037</v>
      </c>
      <c r="C368" s="8">
        <v>1</v>
      </c>
      <c r="D368" s="9">
        <v>29.99</v>
      </c>
      <c r="E368" s="8" t="s">
        <v>1038</v>
      </c>
      <c r="F368" s="7"/>
      <c r="G368" s="11"/>
      <c r="H368" s="7" t="s">
        <v>88</v>
      </c>
      <c r="I368" s="7" t="s">
        <v>203</v>
      </c>
      <c r="J368" s="7"/>
      <c r="K368" s="7"/>
      <c r="L368" s="12" t="str">
        <f>HYPERLINK("http://slimages.macys.com/is/image/MCY/17892833 ")</f>
        <v xml:space="preserve">http://slimages.macys.com/is/image/MCY/17892833 </v>
      </c>
      <c r="M368" s="13"/>
    </row>
    <row r="369" spans="1:13" ht="60" x14ac:dyDescent="0.25">
      <c r="A369" s="11" t="s">
        <v>1033</v>
      </c>
      <c r="B369" s="7" t="s">
        <v>1034</v>
      </c>
      <c r="C369" s="8">
        <v>1</v>
      </c>
      <c r="D369" s="9">
        <v>29.99</v>
      </c>
      <c r="E369" s="8" t="s">
        <v>1035</v>
      </c>
      <c r="F369" s="7"/>
      <c r="G369" s="11"/>
      <c r="H369" s="7" t="s">
        <v>88</v>
      </c>
      <c r="I369" s="7" t="s">
        <v>203</v>
      </c>
      <c r="J369" s="7"/>
      <c r="K369" s="7"/>
      <c r="L369" s="12" t="str">
        <f>HYPERLINK("http://slimages.macys.com/is/image/MCY/17986857 ")</f>
        <v xml:space="preserve">http://slimages.macys.com/is/image/MCY/17986857 </v>
      </c>
      <c r="M369" s="13"/>
    </row>
    <row r="370" spans="1:13" ht="60" x14ac:dyDescent="0.25">
      <c r="A370" s="11" t="s">
        <v>591</v>
      </c>
      <c r="B370" s="7" t="s">
        <v>592</v>
      </c>
      <c r="C370" s="8">
        <v>1</v>
      </c>
      <c r="D370" s="9">
        <v>37.99</v>
      </c>
      <c r="E370" s="8" t="s">
        <v>593</v>
      </c>
      <c r="F370" s="7" t="s">
        <v>389</v>
      </c>
      <c r="G370" s="11" t="s">
        <v>269</v>
      </c>
      <c r="H370" s="7" t="s">
        <v>394</v>
      </c>
      <c r="I370" s="7" t="s">
        <v>594</v>
      </c>
      <c r="J370" s="7" t="s">
        <v>52</v>
      </c>
      <c r="K370" s="7" t="s">
        <v>59</v>
      </c>
      <c r="L370" s="12" t="str">
        <f>HYPERLINK("http://slimages.macys.com/is/image/MCY/15782119 ")</f>
        <v xml:space="preserve">http://slimages.macys.com/is/image/MCY/15782119 </v>
      </c>
      <c r="M370" s="13"/>
    </row>
    <row r="371" spans="1:13" ht="24" x14ac:dyDescent="0.25">
      <c r="A371" s="11" t="s">
        <v>1402</v>
      </c>
      <c r="B371" s="7" t="s">
        <v>1403</v>
      </c>
      <c r="C371" s="8">
        <v>3</v>
      </c>
      <c r="D371" s="9">
        <v>66.989999999999995</v>
      </c>
      <c r="E371" s="8">
        <v>645421</v>
      </c>
      <c r="F371" s="7" t="s">
        <v>642</v>
      </c>
      <c r="G371" s="11"/>
      <c r="H371" s="7" t="s">
        <v>125</v>
      </c>
      <c r="I371" s="7" t="s">
        <v>1404</v>
      </c>
      <c r="J371" s="7"/>
      <c r="K371" s="7"/>
      <c r="L371" s="12"/>
      <c r="M371" s="13"/>
    </row>
    <row r="372" spans="1:13" ht="60" x14ac:dyDescent="0.25">
      <c r="A372" s="11" t="s">
        <v>1057</v>
      </c>
      <c r="B372" s="7" t="s">
        <v>1058</v>
      </c>
      <c r="C372" s="8">
        <v>1</v>
      </c>
      <c r="D372" s="9">
        <v>29.99</v>
      </c>
      <c r="E372" s="8" t="s">
        <v>1059</v>
      </c>
      <c r="F372" s="7" t="s">
        <v>120</v>
      </c>
      <c r="G372" s="11"/>
      <c r="H372" s="7" t="s">
        <v>50</v>
      </c>
      <c r="I372" s="7" t="s">
        <v>1060</v>
      </c>
      <c r="J372" s="7" t="s">
        <v>52</v>
      </c>
      <c r="K372" s="7" t="s">
        <v>516</v>
      </c>
      <c r="L372" s="12" t="str">
        <f>HYPERLINK("http://slimages.macys.com/is/image/MCY/10312782 ")</f>
        <v xml:space="preserve">http://slimages.macys.com/is/image/MCY/10312782 </v>
      </c>
      <c r="M372" s="13"/>
    </row>
    <row r="373" spans="1:13" ht="60" x14ac:dyDescent="0.25">
      <c r="A373" s="11" t="s">
        <v>687</v>
      </c>
      <c r="B373" s="7" t="s">
        <v>688</v>
      </c>
      <c r="C373" s="8">
        <v>1</v>
      </c>
      <c r="D373" s="9">
        <v>50.99</v>
      </c>
      <c r="E373" s="8" t="s">
        <v>689</v>
      </c>
      <c r="F373" s="7" t="s">
        <v>512</v>
      </c>
      <c r="G373" s="11"/>
      <c r="H373" s="7" t="s">
        <v>125</v>
      </c>
      <c r="I373" s="7" t="s">
        <v>303</v>
      </c>
      <c r="J373" s="7" t="s">
        <v>52</v>
      </c>
      <c r="K373" s="7" t="s">
        <v>121</v>
      </c>
      <c r="L373" s="12" t="str">
        <f>HYPERLINK("http://slimages.macys.com/is/image/MCY/13790255 ")</f>
        <v xml:space="preserve">http://slimages.macys.com/is/image/MCY/13790255 </v>
      </c>
      <c r="M373" s="13"/>
    </row>
    <row r="374" spans="1:13" ht="60" x14ac:dyDescent="0.25">
      <c r="A374" s="11" t="s">
        <v>458</v>
      </c>
      <c r="B374" s="7" t="s">
        <v>459</v>
      </c>
      <c r="C374" s="8">
        <v>1</v>
      </c>
      <c r="D374" s="9">
        <v>72.989999999999995</v>
      </c>
      <c r="E374" s="8" t="s">
        <v>460</v>
      </c>
      <c r="F374" s="7" t="s">
        <v>461</v>
      </c>
      <c r="G374" s="11"/>
      <c r="H374" s="7" t="s">
        <v>125</v>
      </c>
      <c r="I374" s="7" t="s">
        <v>303</v>
      </c>
      <c r="J374" s="7" t="s">
        <v>52</v>
      </c>
      <c r="K374" s="7" t="s">
        <v>328</v>
      </c>
      <c r="L374" s="12" t="str">
        <f>HYPERLINK("http://slimages.macys.com/is/image/MCY/12140376 ")</f>
        <v xml:space="preserve">http://slimages.macys.com/is/image/MCY/12140376 </v>
      </c>
      <c r="M374" s="13"/>
    </row>
    <row r="375" spans="1:13" ht="60" x14ac:dyDescent="0.25">
      <c r="A375" s="11" t="s">
        <v>324</v>
      </c>
      <c r="B375" s="7" t="s">
        <v>325</v>
      </c>
      <c r="C375" s="8">
        <v>1</v>
      </c>
      <c r="D375" s="9">
        <v>95.99</v>
      </c>
      <c r="E375" s="8" t="s">
        <v>326</v>
      </c>
      <c r="F375" s="7" t="s">
        <v>327</v>
      </c>
      <c r="G375" s="11"/>
      <c r="H375" s="7" t="s">
        <v>125</v>
      </c>
      <c r="I375" s="7" t="s">
        <v>303</v>
      </c>
      <c r="J375" s="7" t="s">
        <v>52</v>
      </c>
      <c r="K375" s="7" t="s">
        <v>328</v>
      </c>
      <c r="L375" s="12" t="str">
        <f>HYPERLINK("http://slimages.macys.com/is/image/MCY/12140588 ")</f>
        <v xml:space="preserve">http://slimages.macys.com/is/image/MCY/12140588 </v>
      </c>
      <c r="M375" s="13"/>
    </row>
    <row r="376" spans="1:13" ht="60" x14ac:dyDescent="0.25">
      <c r="A376" s="11" t="s">
        <v>409</v>
      </c>
      <c r="B376" s="7" t="s">
        <v>410</v>
      </c>
      <c r="C376" s="8">
        <v>1</v>
      </c>
      <c r="D376" s="9">
        <v>77.989999999999995</v>
      </c>
      <c r="E376" s="8" t="s">
        <v>411</v>
      </c>
      <c r="F376" s="7" t="s">
        <v>108</v>
      </c>
      <c r="G376" s="11"/>
      <c r="H376" s="7" t="s">
        <v>125</v>
      </c>
      <c r="I376" s="7" t="s">
        <v>303</v>
      </c>
      <c r="J376" s="7" t="s">
        <v>52</v>
      </c>
      <c r="K376" s="7" t="s">
        <v>121</v>
      </c>
      <c r="L376" s="12" t="str">
        <f>HYPERLINK("http://slimages.macys.com/is/image/MCY/12140971 ")</f>
        <v xml:space="preserve">http://slimages.macys.com/is/image/MCY/12140971 </v>
      </c>
      <c r="M376" s="13"/>
    </row>
    <row r="377" spans="1:13" ht="60" x14ac:dyDescent="0.25">
      <c r="A377" s="11" t="s">
        <v>462</v>
      </c>
      <c r="B377" s="7" t="s">
        <v>463</v>
      </c>
      <c r="C377" s="8">
        <v>1</v>
      </c>
      <c r="D377" s="9">
        <v>72.989999999999995</v>
      </c>
      <c r="E377" s="8" t="s">
        <v>464</v>
      </c>
      <c r="F377" s="7" t="s">
        <v>249</v>
      </c>
      <c r="G377" s="11"/>
      <c r="H377" s="7" t="s">
        <v>125</v>
      </c>
      <c r="I377" s="7" t="s">
        <v>303</v>
      </c>
      <c r="J377" s="7" t="s">
        <v>52</v>
      </c>
      <c r="K377" s="7" t="s">
        <v>121</v>
      </c>
      <c r="L377" s="12" t="str">
        <f>HYPERLINK("http://slimages.macys.com/is/image/MCY/12141060 ")</f>
        <v xml:space="preserve">http://slimages.macys.com/is/image/MCY/12141060 </v>
      </c>
      <c r="M377" s="13"/>
    </row>
    <row r="378" spans="1:13" ht="60" x14ac:dyDescent="0.25">
      <c r="A378" s="11" t="s">
        <v>379</v>
      </c>
      <c r="B378" s="7" t="s">
        <v>380</v>
      </c>
      <c r="C378" s="8">
        <v>1</v>
      </c>
      <c r="D378" s="9">
        <v>59.99</v>
      </c>
      <c r="E378" s="8" t="s">
        <v>381</v>
      </c>
      <c r="F378" s="7" t="s">
        <v>108</v>
      </c>
      <c r="G378" s="11"/>
      <c r="H378" s="7" t="s">
        <v>125</v>
      </c>
      <c r="I378" s="7" t="s">
        <v>303</v>
      </c>
      <c r="J378" s="7"/>
      <c r="K378" s="7"/>
      <c r="L378" s="12" t="str">
        <f>HYPERLINK("http://slimages.macys.com/is/image/MCY/17943910 ")</f>
        <v xml:space="preserve">http://slimages.macys.com/is/image/MCY/17943910 </v>
      </c>
      <c r="M378" s="13"/>
    </row>
    <row r="379" spans="1:13" ht="24" x14ac:dyDescent="0.25">
      <c r="A379" s="11" t="s">
        <v>1399</v>
      </c>
      <c r="B379" s="7" t="s">
        <v>1400</v>
      </c>
      <c r="C379" s="8">
        <v>2</v>
      </c>
      <c r="D379" s="9">
        <v>72.989999999999995</v>
      </c>
      <c r="E379" s="8" t="s">
        <v>1401</v>
      </c>
      <c r="F379" s="7" t="s">
        <v>327</v>
      </c>
      <c r="G379" s="11"/>
      <c r="H379" s="7" t="s">
        <v>125</v>
      </c>
      <c r="I379" s="7" t="s">
        <v>303</v>
      </c>
      <c r="J379" s="7"/>
      <c r="K379" s="7"/>
      <c r="L379" s="12"/>
      <c r="M379" s="13"/>
    </row>
    <row r="380" spans="1:13" ht="60" x14ac:dyDescent="0.25">
      <c r="A380" s="11" t="s">
        <v>299</v>
      </c>
      <c r="B380" s="7" t="s">
        <v>300</v>
      </c>
      <c r="C380" s="8">
        <v>1</v>
      </c>
      <c r="D380" s="9">
        <v>101.99</v>
      </c>
      <c r="E380" s="8" t="s">
        <v>301</v>
      </c>
      <c r="F380" s="7" t="s">
        <v>302</v>
      </c>
      <c r="G380" s="11"/>
      <c r="H380" s="7" t="s">
        <v>125</v>
      </c>
      <c r="I380" s="7" t="s">
        <v>303</v>
      </c>
      <c r="J380" s="7" t="s">
        <v>52</v>
      </c>
      <c r="K380" s="7" t="s">
        <v>121</v>
      </c>
      <c r="L380" s="12" t="str">
        <f>HYPERLINK("http://slimages.macys.com/is/image/MCY/12141209 ")</f>
        <v xml:space="preserve">http://slimages.macys.com/is/image/MCY/12141209 </v>
      </c>
      <c r="M380" s="13"/>
    </row>
    <row r="381" spans="1:13" ht="60" x14ac:dyDescent="0.25">
      <c r="A381" s="11" t="s">
        <v>690</v>
      </c>
      <c r="B381" s="7" t="s">
        <v>691</v>
      </c>
      <c r="C381" s="8">
        <v>2</v>
      </c>
      <c r="D381" s="9">
        <v>72</v>
      </c>
      <c r="E381" s="8">
        <v>16633500</v>
      </c>
      <c r="F381" s="7" t="s">
        <v>43</v>
      </c>
      <c r="G381" s="11" t="s">
        <v>692</v>
      </c>
      <c r="H381" s="7" t="s">
        <v>98</v>
      </c>
      <c r="I381" s="7" t="s">
        <v>693</v>
      </c>
      <c r="J381" s="7" t="s">
        <v>58</v>
      </c>
      <c r="K381" s="7" t="s">
        <v>59</v>
      </c>
      <c r="L381" s="12" t="str">
        <f>HYPERLINK("http://images.bloomingdales.com/is/image/BLM/9728318 ")</f>
        <v xml:space="preserve">http://images.bloomingdales.com/is/image/BLM/9728318 </v>
      </c>
      <c r="M381" s="13"/>
    </row>
    <row r="382" spans="1:13" ht="60" x14ac:dyDescent="0.25">
      <c r="A382" s="11" t="s">
        <v>784</v>
      </c>
      <c r="B382" s="7" t="s">
        <v>785</v>
      </c>
      <c r="C382" s="8">
        <v>1</v>
      </c>
      <c r="D382" s="9">
        <v>40.99</v>
      </c>
      <c r="E382" s="8" t="s">
        <v>786</v>
      </c>
      <c r="F382" s="7" t="s">
        <v>93</v>
      </c>
      <c r="G382" s="11" t="s">
        <v>269</v>
      </c>
      <c r="H382" s="7" t="s">
        <v>125</v>
      </c>
      <c r="I382" s="7" t="s">
        <v>270</v>
      </c>
      <c r="J382" s="7" t="s">
        <v>52</v>
      </c>
      <c r="K382" s="7" t="s">
        <v>516</v>
      </c>
      <c r="L382" s="12" t="str">
        <f>HYPERLINK("http://slimages.macys.com/is/image/MCY/10809242 ")</f>
        <v xml:space="preserve">http://slimages.macys.com/is/image/MCY/10809242 </v>
      </c>
      <c r="M382" s="13"/>
    </row>
    <row r="383" spans="1:13" ht="60" x14ac:dyDescent="0.25">
      <c r="A383" s="11" t="s">
        <v>265</v>
      </c>
      <c r="B383" s="7" t="s">
        <v>266</v>
      </c>
      <c r="C383" s="8">
        <v>1</v>
      </c>
      <c r="D383" s="9">
        <v>104.99</v>
      </c>
      <c r="E383" s="8" t="s">
        <v>267</v>
      </c>
      <c r="F383" s="7" t="s">
        <v>268</v>
      </c>
      <c r="G383" s="11" t="s">
        <v>269</v>
      </c>
      <c r="H383" s="7" t="s">
        <v>125</v>
      </c>
      <c r="I383" s="7" t="s">
        <v>270</v>
      </c>
      <c r="J383" s="7" t="s">
        <v>52</v>
      </c>
      <c r="K383" s="7" t="s">
        <v>271</v>
      </c>
      <c r="L383" s="12" t="str">
        <f>HYPERLINK("http://slimages.macys.com/is/image/MCY/10907159 ")</f>
        <v xml:space="preserve">http://slimages.macys.com/is/image/MCY/10907159 </v>
      </c>
      <c r="M383" s="13"/>
    </row>
    <row r="384" spans="1:13" ht="60" x14ac:dyDescent="0.25">
      <c r="A384" s="11" t="s">
        <v>1093</v>
      </c>
      <c r="B384" s="7" t="s">
        <v>1094</v>
      </c>
      <c r="C384" s="8">
        <v>3</v>
      </c>
      <c r="D384" s="9">
        <v>27.99</v>
      </c>
      <c r="E384" s="8" t="s">
        <v>1095</v>
      </c>
      <c r="F384" s="7" t="s">
        <v>942</v>
      </c>
      <c r="G384" s="11"/>
      <c r="H384" s="7" t="s">
        <v>125</v>
      </c>
      <c r="I384" s="7" t="s">
        <v>350</v>
      </c>
      <c r="J384" s="7" t="s">
        <v>52</v>
      </c>
      <c r="K384" s="7" t="s">
        <v>121</v>
      </c>
      <c r="L384" s="12" t="str">
        <f>HYPERLINK("http://slimages.macys.com/is/image/MCY/15567231 ")</f>
        <v xml:space="preserve">http://slimages.macys.com/is/image/MCY/15567231 </v>
      </c>
      <c r="M384" s="13"/>
    </row>
    <row r="385" spans="1:13" ht="60" x14ac:dyDescent="0.25">
      <c r="A385" s="11" t="s">
        <v>347</v>
      </c>
      <c r="B385" s="7" t="s">
        <v>348</v>
      </c>
      <c r="C385" s="8">
        <v>1</v>
      </c>
      <c r="D385" s="9">
        <v>93.99</v>
      </c>
      <c r="E385" s="8" t="s">
        <v>349</v>
      </c>
      <c r="F385" s="7" t="s">
        <v>217</v>
      </c>
      <c r="G385" s="11"/>
      <c r="H385" s="7" t="s">
        <v>125</v>
      </c>
      <c r="I385" s="7" t="s">
        <v>350</v>
      </c>
      <c r="J385" s="7" t="s">
        <v>52</v>
      </c>
      <c r="K385" s="7" t="s">
        <v>351</v>
      </c>
      <c r="L385" s="12" t="str">
        <f>HYPERLINK("http://slimages.macys.com/is/image/MCY/13784524 ")</f>
        <v xml:space="preserve">http://slimages.macys.com/is/image/MCY/13784524 </v>
      </c>
      <c r="M385" s="13"/>
    </row>
    <row r="386" spans="1:13" ht="60" x14ac:dyDescent="0.25">
      <c r="A386" s="11" t="s">
        <v>1158</v>
      </c>
      <c r="B386" s="7" t="s">
        <v>1159</v>
      </c>
      <c r="C386" s="8">
        <v>1</v>
      </c>
      <c r="D386" s="9">
        <v>22.99</v>
      </c>
      <c r="E386" s="8" t="s">
        <v>1160</v>
      </c>
      <c r="F386" s="7" t="s">
        <v>656</v>
      </c>
      <c r="G386" s="11" t="s">
        <v>1161</v>
      </c>
      <c r="H386" s="7" t="s">
        <v>125</v>
      </c>
      <c r="I386" s="7" t="s">
        <v>1162</v>
      </c>
      <c r="J386" s="7"/>
      <c r="K386" s="7"/>
      <c r="L386" s="12" t="str">
        <f>HYPERLINK("http://slimages.macys.com/is/image/MCY/16800682 ")</f>
        <v xml:space="preserve">http://slimages.macys.com/is/image/MCY/16800682 </v>
      </c>
      <c r="M386" s="13"/>
    </row>
    <row r="387" spans="1:13" ht="60" x14ac:dyDescent="0.25">
      <c r="A387" s="11" t="s">
        <v>558</v>
      </c>
      <c r="B387" s="7" t="s">
        <v>559</v>
      </c>
      <c r="C387" s="8">
        <v>1</v>
      </c>
      <c r="D387" s="9">
        <v>59.99</v>
      </c>
      <c r="E387" s="8">
        <v>9012</v>
      </c>
      <c r="F387" s="7" t="s">
        <v>108</v>
      </c>
      <c r="G387" s="11" t="s">
        <v>432</v>
      </c>
      <c r="H387" s="7" t="s">
        <v>125</v>
      </c>
      <c r="I387" s="7" t="s">
        <v>515</v>
      </c>
      <c r="J387" s="7" t="s">
        <v>52</v>
      </c>
      <c r="K387" s="7" t="s">
        <v>516</v>
      </c>
      <c r="L387" s="12" t="str">
        <f>HYPERLINK("http://slimages.macys.com/is/image/MCY/14831842 ")</f>
        <v xml:space="preserve">http://slimages.macys.com/is/image/MCY/14831842 </v>
      </c>
      <c r="M387" s="13"/>
    </row>
    <row r="388" spans="1:13" ht="60" x14ac:dyDescent="0.25">
      <c r="A388" s="11" t="s">
        <v>513</v>
      </c>
      <c r="B388" s="7" t="s">
        <v>514</v>
      </c>
      <c r="C388" s="8">
        <v>1</v>
      </c>
      <c r="D388" s="9">
        <v>61.99</v>
      </c>
      <c r="E388" s="8">
        <v>9014</v>
      </c>
      <c r="F388" s="7" t="s">
        <v>43</v>
      </c>
      <c r="G388" s="11" t="s">
        <v>432</v>
      </c>
      <c r="H388" s="7" t="s">
        <v>125</v>
      </c>
      <c r="I388" s="7" t="s">
        <v>515</v>
      </c>
      <c r="J388" s="7" t="s">
        <v>52</v>
      </c>
      <c r="K388" s="7" t="s">
        <v>516</v>
      </c>
      <c r="L388" s="12" t="str">
        <f>HYPERLINK("http://slimages.macys.com/is/image/MCY/14831889 ")</f>
        <v xml:space="preserve">http://slimages.macys.com/is/image/MCY/14831889 </v>
      </c>
      <c r="M388" s="13"/>
    </row>
    <row r="389" spans="1:13" ht="60" x14ac:dyDescent="0.25">
      <c r="A389" s="11" t="s">
        <v>923</v>
      </c>
      <c r="B389" s="7" t="s">
        <v>924</v>
      </c>
      <c r="C389" s="8">
        <v>1</v>
      </c>
      <c r="D389" s="9">
        <v>36.99</v>
      </c>
      <c r="E389" s="8">
        <v>4006</v>
      </c>
      <c r="F389" s="7" t="s">
        <v>43</v>
      </c>
      <c r="G389" s="11" t="s">
        <v>727</v>
      </c>
      <c r="H389" s="7" t="s">
        <v>125</v>
      </c>
      <c r="I389" s="7" t="s">
        <v>515</v>
      </c>
      <c r="J389" s="7" t="s">
        <v>52</v>
      </c>
      <c r="K389" s="7" t="s">
        <v>110</v>
      </c>
      <c r="L389" s="12" t="str">
        <f>HYPERLINK("http://slimages.macys.com/is/image/MCY/14832509 ")</f>
        <v xml:space="preserve">http://slimages.macys.com/is/image/MCY/14832509 </v>
      </c>
      <c r="M389" s="13"/>
    </row>
    <row r="390" spans="1:13" ht="60" x14ac:dyDescent="0.25">
      <c r="A390" s="11" t="s">
        <v>723</v>
      </c>
      <c r="B390" s="7" t="s">
        <v>724</v>
      </c>
      <c r="C390" s="8">
        <v>1</v>
      </c>
      <c r="D390" s="9">
        <v>48.99</v>
      </c>
      <c r="E390" s="8" t="s">
        <v>725</v>
      </c>
      <c r="F390" s="7" t="s">
        <v>726</v>
      </c>
      <c r="G390" s="11" t="s">
        <v>727</v>
      </c>
      <c r="H390" s="7" t="s">
        <v>125</v>
      </c>
      <c r="I390" s="7" t="s">
        <v>515</v>
      </c>
      <c r="J390" s="7" t="s">
        <v>52</v>
      </c>
      <c r="K390" s="7" t="s">
        <v>728</v>
      </c>
      <c r="L390" s="12" t="str">
        <f>HYPERLINK("http://slimages.macys.com/is/image/MCY/14831619 ")</f>
        <v xml:space="preserve">http://slimages.macys.com/is/image/MCY/14831619 </v>
      </c>
      <c r="M390" s="13"/>
    </row>
    <row r="391" spans="1:13" ht="60" x14ac:dyDescent="0.25">
      <c r="A391" s="11" t="s">
        <v>739</v>
      </c>
      <c r="B391" s="7" t="s">
        <v>740</v>
      </c>
      <c r="C391" s="8">
        <v>1</v>
      </c>
      <c r="D391" s="9">
        <v>46.99</v>
      </c>
      <c r="E391" s="8">
        <v>1003</v>
      </c>
      <c r="F391" s="7" t="s">
        <v>120</v>
      </c>
      <c r="G391" s="11" t="s">
        <v>432</v>
      </c>
      <c r="H391" s="7" t="s">
        <v>125</v>
      </c>
      <c r="I391" s="7" t="s">
        <v>515</v>
      </c>
      <c r="J391" s="7" t="s">
        <v>52</v>
      </c>
      <c r="K391" s="7" t="s">
        <v>516</v>
      </c>
      <c r="L391" s="12" t="str">
        <f>HYPERLINK("http://slimages.macys.com/is/image/MCY/14831747 ")</f>
        <v xml:space="preserve">http://slimages.macys.com/is/image/MCY/14831747 </v>
      </c>
      <c r="M391" s="13"/>
    </row>
    <row r="392" spans="1:13" ht="60" x14ac:dyDescent="0.25">
      <c r="A392" s="11" t="s">
        <v>739</v>
      </c>
      <c r="B392" s="7" t="s">
        <v>740</v>
      </c>
      <c r="C392" s="8">
        <v>1</v>
      </c>
      <c r="D392" s="9">
        <v>46.99</v>
      </c>
      <c r="E392" s="8">
        <v>1003</v>
      </c>
      <c r="F392" s="7" t="s">
        <v>120</v>
      </c>
      <c r="G392" s="11" t="s">
        <v>432</v>
      </c>
      <c r="H392" s="7" t="s">
        <v>125</v>
      </c>
      <c r="I392" s="7" t="s">
        <v>515</v>
      </c>
      <c r="J392" s="7" t="s">
        <v>52</v>
      </c>
      <c r="K392" s="7" t="s">
        <v>516</v>
      </c>
      <c r="L392" s="12" t="str">
        <f>HYPERLINK("http://slimages.macys.com/is/image/MCY/14831747 ")</f>
        <v xml:space="preserve">http://slimages.macys.com/is/image/MCY/14831747 </v>
      </c>
      <c r="M392" s="13"/>
    </row>
    <row r="393" spans="1:13" ht="60" x14ac:dyDescent="0.25">
      <c r="A393" s="11" t="s">
        <v>947</v>
      </c>
      <c r="B393" s="7" t="s">
        <v>948</v>
      </c>
      <c r="C393" s="8">
        <v>1</v>
      </c>
      <c r="D393" s="9">
        <v>34.99</v>
      </c>
      <c r="E393" s="8" t="s">
        <v>949</v>
      </c>
      <c r="F393" s="7" t="s">
        <v>43</v>
      </c>
      <c r="G393" s="11"/>
      <c r="H393" s="7" t="s">
        <v>125</v>
      </c>
      <c r="I393" s="7" t="s">
        <v>515</v>
      </c>
      <c r="J393" s="7" t="s">
        <v>52</v>
      </c>
      <c r="K393" s="7" t="s">
        <v>586</v>
      </c>
      <c r="L393" s="12" t="str">
        <f>HYPERLINK("http://slimages.macys.com/is/image/MCY/14832336 ")</f>
        <v xml:space="preserve">http://slimages.macys.com/is/image/MCY/14832336 </v>
      </c>
      <c r="M393" s="13"/>
    </row>
    <row r="394" spans="1:13" ht="60" x14ac:dyDescent="0.25">
      <c r="A394" s="11" t="s">
        <v>582</v>
      </c>
      <c r="B394" s="7" t="s">
        <v>583</v>
      </c>
      <c r="C394" s="8">
        <v>1</v>
      </c>
      <c r="D394" s="9">
        <v>57.99</v>
      </c>
      <c r="E394" s="8" t="s">
        <v>584</v>
      </c>
      <c r="F394" s="7" t="s">
        <v>43</v>
      </c>
      <c r="G394" s="11" t="s">
        <v>585</v>
      </c>
      <c r="H394" s="7" t="s">
        <v>125</v>
      </c>
      <c r="I394" s="7" t="s">
        <v>515</v>
      </c>
      <c r="J394" s="7" t="s">
        <v>52</v>
      </c>
      <c r="K394" s="7" t="s">
        <v>586</v>
      </c>
      <c r="L394" s="12" t="str">
        <f>HYPERLINK("http://slimages.macys.com/is/image/MCY/14873042 ")</f>
        <v xml:space="preserve">http://slimages.macys.com/is/image/MCY/14873042 </v>
      </c>
      <c r="M394" s="13"/>
    </row>
    <row r="395" spans="1:13" ht="60" x14ac:dyDescent="0.25">
      <c r="A395" s="11" t="s">
        <v>1238</v>
      </c>
      <c r="B395" s="7" t="s">
        <v>1239</v>
      </c>
      <c r="C395" s="8">
        <v>1</v>
      </c>
      <c r="D395" s="9">
        <v>16.989999999999998</v>
      </c>
      <c r="E395" s="8">
        <v>6430696</v>
      </c>
      <c r="F395" s="7" t="s">
        <v>43</v>
      </c>
      <c r="G395" s="11"/>
      <c r="H395" s="7" t="s">
        <v>125</v>
      </c>
      <c r="I395" s="7" t="s">
        <v>1240</v>
      </c>
      <c r="J395" s="7" t="s">
        <v>52</v>
      </c>
      <c r="K395" s="7" t="s">
        <v>121</v>
      </c>
      <c r="L395" s="12" t="str">
        <f>HYPERLINK("http://slimages.macys.com/is/image/MCY/1594475 ")</f>
        <v xml:space="preserve">http://slimages.macys.com/is/image/MCY/1594475 </v>
      </c>
      <c r="M395" s="13"/>
    </row>
    <row r="396" spans="1:13" ht="60" x14ac:dyDescent="0.25">
      <c r="A396" s="11" t="s">
        <v>1259</v>
      </c>
      <c r="B396" s="7" t="s">
        <v>1260</v>
      </c>
      <c r="C396" s="8">
        <v>1</v>
      </c>
      <c r="D396" s="9">
        <v>13.99</v>
      </c>
      <c r="E396" s="8">
        <v>6550585</v>
      </c>
      <c r="F396" s="7" t="s">
        <v>108</v>
      </c>
      <c r="G396" s="11" t="s">
        <v>1261</v>
      </c>
      <c r="H396" s="7" t="s">
        <v>125</v>
      </c>
      <c r="I396" s="7" t="s">
        <v>1240</v>
      </c>
      <c r="J396" s="7" t="s">
        <v>52</v>
      </c>
      <c r="K396" s="7" t="s">
        <v>110</v>
      </c>
      <c r="L396" s="12" t="str">
        <f>HYPERLINK("http://slimages.macys.com/is/image/MCY/10044995 ")</f>
        <v xml:space="preserve">http://slimages.macys.com/is/image/MCY/10044995 </v>
      </c>
      <c r="M396" s="13"/>
    </row>
    <row r="397" spans="1:13" ht="60" x14ac:dyDescent="0.25">
      <c r="A397" s="11" t="s">
        <v>856</v>
      </c>
      <c r="B397" s="7" t="s">
        <v>857</v>
      </c>
      <c r="C397" s="8">
        <v>1</v>
      </c>
      <c r="D397" s="9">
        <v>31.99</v>
      </c>
      <c r="E397" s="8">
        <v>64100</v>
      </c>
      <c r="F397" s="7" t="s">
        <v>43</v>
      </c>
      <c r="G397" s="11" t="s">
        <v>160</v>
      </c>
      <c r="H397" s="7" t="s">
        <v>70</v>
      </c>
      <c r="I397" s="7" t="s">
        <v>858</v>
      </c>
      <c r="J397" s="7" t="s">
        <v>52</v>
      </c>
      <c r="K397" s="7" t="s">
        <v>859</v>
      </c>
      <c r="L397" s="12" t="str">
        <f>HYPERLINK("http://slimages.macys.com/is/image/MCY/13768152 ")</f>
        <v xml:space="preserve">http://slimages.macys.com/is/image/MCY/13768152 </v>
      </c>
      <c r="M397" s="13"/>
    </row>
    <row r="398" spans="1:13" ht="60" x14ac:dyDescent="0.25">
      <c r="A398" s="11" t="s">
        <v>1297</v>
      </c>
      <c r="B398" s="7" t="s">
        <v>1298</v>
      </c>
      <c r="C398" s="8">
        <v>1</v>
      </c>
      <c r="D398" s="9">
        <v>12.99</v>
      </c>
      <c r="E398" s="8" t="s">
        <v>1299</v>
      </c>
      <c r="F398" s="7" t="s">
        <v>1132</v>
      </c>
      <c r="G398" s="11"/>
      <c r="H398" s="7" t="s">
        <v>427</v>
      </c>
      <c r="I398" s="7" t="s">
        <v>484</v>
      </c>
      <c r="J398" s="7"/>
      <c r="K398" s="7"/>
      <c r="L398" s="12" t="str">
        <f>HYPERLINK("http://slimages.macys.com/is/image/MCY/16900736 ")</f>
        <v xml:space="preserve">http://slimages.macys.com/is/image/MCY/16900736 </v>
      </c>
      <c r="M398" s="13"/>
    </row>
    <row r="399" spans="1:13" ht="60" x14ac:dyDescent="0.25">
      <c r="A399" s="11" t="s">
        <v>1021</v>
      </c>
      <c r="B399" s="7" t="s">
        <v>1022</v>
      </c>
      <c r="C399" s="8">
        <v>2</v>
      </c>
      <c r="D399" s="9">
        <v>29.99</v>
      </c>
      <c r="E399" s="8" t="s">
        <v>1023</v>
      </c>
      <c r="F399" s="7" t="s">
        <v>108</v>
      </c>
      <c r="G399" s="11"/>
      <c r="H399" s="7" t="s">
        <v>427</v>
      </c>
      <c r="I399" s="7" t="s">
        <v>484</v>
      </c>
      <c r="J399" s="7"/>
      <c r="K399" s="7"/>
      <c r="L399" s="12" t="str">
        <f>HYPERLINK("http://slimages.macys.com/is/image/MCY/17040074 ")</f>
        <v xml:space="preserve">http://slimages.macys.com/is/image/MCY/17040074 </v>
      </c>
      <c r="M399" s="13"/>
    </row>
    <row r="400" spans="1:13" ht="60" x14ac:dyDescent="0.25">
      <c r="A400" s="11" t="s">
        <v>1330</v>
      </c>
      <c r="B400" s="7" t="s">
        <v>1331</v>
      </c>
      <c r="C400" s="8">
        <v>1</v>
      </c>
      <c r="D400" s="9">
        <v>17</v>
      </c>
      <c r="E400" s="8" t="s">
        <v>1332</v>
      </c>
      <c r="F400" s="7" t="s">
        <v>403</v>
      </c>
      <c r="G400" s="11" t="s">
        <v>1316</v>
      </c>
      <c r="H400" s="7" t="s">
        <v>720</v>
      </c>
      <c r="I400" s="7" t="s">
        <v>885</v>
      </c>
      <c r="J400" s="7" t="s">
        <v>1306</v>
      </c>
      <c r="K400" s="7" t="s">
        <v>59</v>
      </c>
      <c r="L400" s="12" t="str">
        <f>HYPERLINK("http://images.bloomingdales.com/is/image/BLM/9745859 ")</f>
        <v xml:space="preserve">http://images.bloomingdales.com/is/image/BLM/9745859 </v>
      </c>
      <c r="M400" s="13"/>
    </row>
    <row r="401" spans="1:13" ht="72" x14ac:dyDescent="0.25">
      <c r="A401" s="11" t="s">
        <v>950</v>
      </c>
      <c r="B401" s="7" t="s">
        <v>951</v>
      </c>
      <c r="C401" s="8">
        <v>3</v>
      </c>
      <c r="D401" s="9">
        <v>25</v>
      </c>
      <c r="E401" s="8" t="s">
        <v>952</v>
      </c>
      <c r="F401" s="7" t="s">
        <v>108</v>
      </c>
      <c r="G401" s="11" t="s">
        <v>269</v>
      </c>
      <c r="H401" s="7" t="s">
        <v>720</v>
      </c>
      <c r="I401" s="7" t="s">
        <v>721</v>
      </c>
      <c r="J401" s="7" t="s">
        <v>58</v>
      </c>
      <c r="K401" s="7" t="s">
        <v>953</v>
      </c>
      <c r="L401" s="12" t="str">
        <f>HYPERLINK("http://images.bloomingdales.com/is/image/BLM/11129713 ")</f>
        <v xml:space="preserve">http://images.bloomingdales.com/is/image/BLM/11129713 </v>
      </c>
      <c r="M401" s="13"/>
    </row>
    <row r="402" spans="1:13" ht="60" x14ac:dyDescent="0.25">
      <c r="A402" s="11" t="s">
        <v>697</v>
      </c>
      <c r="B402" s="7" t="s">
        <v>698</v>
      </c>
      <c r="C402" s="8">
        <v>1</v>
      </c>
      <c r="D402" s="9">
        <v>39.99</v>
      </c>
      <c r="E402" s="8" t="s">
        <v>699</v>
      </c>
      <c r="F402" s="7" t="s">
        <v>49</v>
      </c>
      <c r="G402" s="11" t="s">
        <v>393</v>
      </c>
      <c r="H402" s="7" t="s">
        <v>125</v>
      </c>
      <c r="I402" s="7" t="s">
        <v>700</v>
      </c>
      <c r="J402" s="7" t="s">
        <v>52</v>
      </c>
      <c r="K402" s="7" t="s">
        <v>701</v>
      </c>
      <c r="L402" s="12" t="str">
        <f>HYPERLINK("http://slimages.macys.com/is/image/MCY/12471666 ")</f>
        <v xml:space="preserve">http://slimages.macys.com/is/image/MCY/12471666 </v>
      </c>
      <c r="M402" s="13"/>
    </row>
    <row r="403" spans="1:13" ht="60" x14ac:dyDescent="0.25">
      <c r="A403" s="11" t="s">
        <v>805</v>
      </c>
      <c r="B403" s="7" t="s">
        <v>806</v>
      </c>
      <c r="C403" s="8">
        <v>1</v>
      </c>
      <c r="D403" s="9">
        <v>44.99</v>
      </c>
      <c r="E403" s="8" t="s">
        <v>807</v>
      </c>
      <c r="F403" s="7" t="s">
        <v>557</v>
      </c>
      <c r="G403" s="11"/>
      <c r="H403" s="7" t="s">
        <v>79</v>
      </c>
      <c r="I403" s="7" t="s">
        <v>80</v>
      </c>
      <c r="J403" s="7" t="s">
        <v>52</v>
      </c>
      <c r="K403" s="7" t="s">
        <v>121</v>
      </c>
      <c r="L403" s="12" t="str">
        <f>HYPERLINK("http://slimages.macys.com/is/image/MCY/8830305 ")</f>
        <v xml:space="preserve">http://slimages.macys.com/is/image/MCY/8830305 </v>
      </c>
      <c r="M403" s="13"/>
    </row>
    <row r="404" spans="1:13" ht="84" x14ac:dyDescent="0.25">
      <c r="A404" s="11" t="s">
        <v>251</v>
      </c>
      <c r="B404" s="7" t="s">
        <v>252</v>
      </c>
      <c r="C404" s="8">
        <v>1</v>
      </c>
      <c r="D404" s="9">
        <v>109.99</v>
      </c>
      <c r="E404" s="8" t="s">
        <v>253</v>
      </c>
      <c r="F404" s="7" t="s">
        <v>93</v>
      </c>
      <c r="G404" s="11"/>
      <c r="H404" s="7" t="s">
        <v>79</v>
      </c>
      <c r="I404" s="7" t="s">
        <v>80</v>
      </c>
      <c r="J404" s="7" t="s">
        <v>58</v>
      </c>
      <c r="K404" s="7" t="s">
        <v>254</v>
      </c>
      <c r="L404" s="12" t="str">
        <f>HYPERLINK("http://slimages.macys.com/is/image/MCY/10139063 ")</f>
        <v xml:space="preserve">http://slimages.macys.com/is/image/MCY/10139063 </v>
      </c>
      <c r="M404" s="13"/>
    </row>
    <row r="405" spans="1:13" ht="60" x14ac:dyDescent="0.25">
      <c r="A405" s="11" t="s">
        <v>843</v>
      </c>
      <c r="B405" s="7" t="s">
        <v>844</v>
      </c>
      <c r="C405" s="8">
        <v>1</v>
      </c>
      <c r="D405" s="9">
        <v>29.99</v>
      </c>
      <c r="E405" s="8" t="s">
        <v>845</v>
      </c>
      <c r="F405" s="7" t="s">
        <v>167</v>
      </c>
      <c r="G405" s="11" t="s">
        <v>846</v>
      </c>
      <c r="H405" s="7" t="s">
        <v>125</v>
      </c>
      <c r="I405" s="7" t="s">
        <v>826</v>
      </c>
      <c r="J405" s="7"/>
      <c r="K405" s="7"/>
      <c r="L405" s="12" t="str">
        <f>HYPERLINK("http://slimages.macys.com/is/image/MCY/17315695 ")</f>
        <v xml:space="preserve">http://slimages.macys.com/is/image/MCY/17315695 </v>
      </c>
      <c r="M405" s="13"/>
    </row>
    <row r="406" spans="1:13" ht="60" x14ac:dyDescent="0.25">
      <c r="A406" s="11" t="s">
        <v>843</v>
      </c>
      <c r="B406" s="7" t="s">
        <v>844</v>
      </c>
      <c r="C406" s="8">
        <v>1</v>
      </c>
      <c r="D406" s="9">
        <v>29.99</v>
      </c>
      <c r="E406" s="8" t="s">
        <v>845</v>
      </c>
      <c r="F406" s="7" t="s">
        <v>167</v>
      </c>
      <c r="G406" s="11" t="s">
        <v>846</v>
      </c>
      <c r="H406" s="7" t="s">
        <v>125</v>
      </c>
      <c r="I406" s="7" t="s">
        <v>826</v>
      </c>
      <c r="J406" s="7"/>
      <c r="K406" s="7"/>
      <c r="L406" s="12" t="str">
        <f>HYPERLINK("http://slimages.macys.com/is/image/MCY/17315695 ")</f>
        <v xml:space="preserve">http://slimages.macys.com/is/image/MCY/17315695 </v>
      </c>
      <c r="M406" s="13"/>
    </row>
    <row r="407" spans="1:13" ht="60" x14ac:dyDescent="0.25">
      <c r="A407" s="11" t="s">
        <v>843</v>
      </c>
      <c r="B407" s="7" t="s">
        <v>844</v>
      </c>
      <c r="C407" s="8">
        <v>1</v>
      </c>
      <c r="D407" s="9">
        <v>29.99</v>
      </c>
      <c r="E407" s="8" t="s">
        <v>845</v>
      </c>
      <c r="F407" s="7" t="s">
        <v>167</v>
      </c>
      <c r="G407" s="11" t="s">
        <v>846</v>
      </c>
      <c r="H407" s="7" t="s">
        <v>125</v>
      </c>
      <c r="I407" s="7" t="s">
        <v>826</v>
      </c>
      <c r="J407" s="7"/>
      <c r="K407" s="7"/>
      <c r="L407" s="12" t="str">
        <f>HYPERLINK("http://slimages.macys.com/is/image/MCY/17315695 ")</f>
        <v xml:space="preserve">http://slimages.macys.com/is/image/MCY/17315695 </v>
      </c>
      <c r="M407" s="13"/>
    </row>
    <row r="408" spans="1:13" ht="60" x14ac:dyDescent="0.25">
      <c r="A408" s="11" t="s">
        <v>850</v>
      </c>
      <c r="B408" s="7" t="s">
        <v>851</v>
      </c>
      <c r="C408" s="8">
        <v>1</v>
      </c>
      <c r="D408" s="9">
        <v>29.99</v>
      </c>
      <c r="E408" s="8" t="s">
        <v>852</v>
      </c>
      <c r="F408" s="7" t="s">
        <v>49</v>
      </c>
      <c r="G408" s="11" t="s">
        <v>727</v>
      </c>
      <c r="H408" s="7" t="s">
        <v>125</v>
      </c>
      <c r="I408" s="7" t="s">
        <v>826</v>
      </c>
      <c r="J408" s="7"/>
      <c r="K408" s="7"/>
      <c r="L408" s="12" t="str">
        <f>HYPERLINK("http://slimages.macys.com/is/image/MCY/17529078 ")</f>
        <v xml:space="preserve">http://slimages.macys.com/is/image/MCY/17529078 </v>
      </c>
      <c r="M408" s="13"/>
    </row>
    <row r="409" spans="1:13" ht="60" x14ac:dyDescent="0.25">
      <c r="A409" s="11" t="s">
        <v>850</v>
      </c>
      <c r="B409" s="7" t="s">
        <v>851</v>
      </c>
      <c r="C409" s="8">
        <v>2</v>
      </c>
      <c r="D409" s="9">
        <v>29.99</v>
      </c>
      <c r="E409" s="8" t="s">
        <v>852</v>
      </c>
      <c r="F409" s="7" t="s">
        <v>49</v>
      </c>
      <c r="G409" s="11" t="s">
        <v>727</v>
      </c>
      <c r="H409" s="7" t="s">
        <v>125</v>
      </c>
      <c r="I409" s="7" t="s">
        <v>826</v>
      </c>
      <c r="J409" s="7"/>
      <c r="K409" s="7"/>
      <c r="L409" s="12" t="str">
        <f>HYPERLINK("http://slimages.macys.com/is/image/MCY/17529078 ")</f>
        <v xml:space="preserve">http://slimages.macys.com/is/image/MCY/17529078 </v>
      </c>
      <c r="M409" s="13"/>
    </row>
    <row r="410" spans="1:13" ht="60" x14ac:dyDescent="0.25">
      <c r="A410" s="11" t="s">
        <v>847</v>
      </c>
      <c r="B410" s="7" t="s">
        <v>848</v>
      </c>
      <c r="C410" s="8">
        <v>2</v>
      </c>
      <c r="D410" s="9">
        <v>29.99</v>
      </c>
      <c r="E410" s="8" t="s">
        <v>849</v>
      </c>
      <c r="F410" s="7" t="s">
        <v>108</v>
      </c>
      <c r="G410" s="11" t="s">
        <v>727</v>
      </c>
      <c r="H410" s="7" t="s">
        <v>125</v>
      </c>
      <c r="I410" s="7" t="s">
        <v>826</v>
      </c>
      <c r="J410" s="7"/>
      <c r="K410" s="7"/>
      <c r="L410" s="12" t="str">
        <f>HYPERLINK("http://slimages.macys.com/is/image/MCY/17529072 ")</f>
        <v xml:space="preserve">http://slimages.macys.com/is/image/MCY/17529072 </v>
      </c>
      <c r="M410" s="13"/>
    </row>
    <row r="411" spans="1:13" ht="60" x14ac:dyDescent="0.25">
      <c r="A411" s="11" t="s">
        <v>560</v>
      </c>
      <c r="B411" s="7" t="s">
        <v>561</v>
      </c>
      <c r="C411" s="8">
        <v>1</v>
      </c>
      <c r="D411" s="9">
        <v>67.989999999999995</v>
      </c>
      <c r="E411" s="8" t="s">
        <v>562</v>
      </c>
      <c r="F411" s="7" t="s">
        <v>313</v>
      </c>
      <c r="G411" s="11" t="s">
        <v>257</v>
      </c>
      <c r="H411" s="7" t="s">
        <v>88</v>
      </c>
      <c r="I411" s="7" t="s">
        <v>563</v>
      </c>
      <c r="J411" s="7" t="s">
        <v>52</v>
      </c>
      <c r="K411" s="7" t="s">
        <v>564</v>
      </c>
      <c r="L411" s="12" t="str">
        <f>HYPERLINK("http://slimages.macys.com/is/image/MCY/12677580 ")</f>
        <v xml:space="preserve">http://slimages.macys.com/is/image/MCY/12677580 </v>
      </c>
      <c r="M411" s="13"/>
    </row>
    <row r="412" spans="1:13" ht="60" x14ac:dyDescent="0.25">
      <c r="A412" s="11" t="s">
        <v>961</v>
      </c>
      <c r="B412" s="7" t="s">
        <v>962</v>
      </c>
      <c r="C412" s="8">
        <v>1</v>
      </c>
      <c r="D412" s="9">
        <v>19.989999999999998</v>
      </c>
      <c r="E412" s="8" t="s">
        <v>963</v>
      </c>
      <c r="F412" s="7" t="s">
        <v>43</v>
      </c>
      <c r="G412" s="11" t="s">
        <v>269</v>
      </c>
      <c r="H412" s="7" t="s">
        <v>125</v>
      </c>
      <c r="I412" s="7" t="s">
        <v>964</v>
      </c>
      <c r="J412" s="7" t="s">
        <v>52</v>
      </c>
      <c r="K412" s="7" t="s">
        <v>965</v>
      </c>
      <c r="L412" s="12" t="str">
        <f>HYPERLINK("http://slimages.macys.com/is/image/MCY/14727084 ")</f>
        <v xml:space="preserve">http://slimages.macys.com/is/image/MCY/14727084 </v>
      </c>
      <c r="M412" s="13"/>
    </row>
    <row r="413" spans="1:13" ht="156" x14ac:dyDescent="0.25">
      <c r="A413" s="11" t="s">
        <v>505</v>
      </c>
      <c r="B413" s="7" t="s">
        <v>506</v>
      </c>
      <c r="C413" s="8">
        <v>1</v>
      </c>
      <c r="D413" s="9">
        <v>66.989999999999995</v>
      </c>
      <c r="E413" s="8" t="s">
        <v>507</v>
      </c>
      <c r="F413" s="7" t="s">
        <v>55</v>
      </c>
      <c r="G413" s="11"/>
      <c r="H413" s="7" t="s">
        <v>88</v>
      </c>
      <c r="I413" s="7" t="s">
        <v>203</v>
      </c>
      <c r="J413" s="7" t="s">
        <v>52</v>
      </c>
      <c r="K413" s="7" t="s">
        <v>508</v>
      </c>
      <c r="L413" s="12" t="str">
        <f>HYPERLINK("http://slimages.macys.com/is/image/MCY/10005627 ")</f>
        <v xml:space="preserve">http://slimages.macys.com/is/image/MCY/10005627 </v>
      </c>
      <c r="M413" s="13"/>
    </row>
    <row r="414" spans="1:13" ht="60" x14ac:dyDescent="0.25">
      <c r="A414" s="11" t="s">
        <v>1119</v>
      </c>
      <c r="B414" s="7" t="s">
        <v>1120</v>
      </c>
      <c r="C414" s="8">
        <v>4</v>
      </c>
      <c r="D414" s="9">
        <v>19.989999999999998</v>
      </c>
      <c r="E414" s="8">
        <v>45995</v>
      </c>
      <c r="F414" s="7" t="s">
        <v>302</v>
      </c>
      <c r="G414" s="11"/>
      <c r="H414" s="7" t="s">
        <v>125</v>
      </c>
      <c r="I414" s="7" t="s">
        <v>1053</v>
      </c>
      <c r="J414" s="7" t="s">
        <v>52</v>
      </c>
      <c r="K414" s="7" t="s">
        <v>121</v>
      </c>
      <c r="L414" s="12" t="str">
        <f>HYPERLINK("http://slimages.macys.com/is/image/MCY/10006710 ")</f>
        <v xml:space="preserve">http://slimages.macys.com/is/image/MCY/10006710 </v>
      </c>
      <c r="M414" s="13"/>
    </row>
    <row r="415" spans="1:13" ht="60" x14ac:dyDescent="0.25">
      <c r="A415" s="11" t="s">
        <v>1192</v>
      </c>
      <c r="B415" s="7" t="s">
        <v>1193</v>
      </c>
      <c r="C415" s="8">
        <v>3</v>
      </c>
      <c r="D415" s="9">
        <v>17.989999999999998</v>
      </c>
      <c r="E415" s="8" t="s">
        <v>1194</v>
      </c>
      <c r="F415" s="7" t="s">
        <v>302</v>
      </c>
      <c r="G415" s="11"/>
      <c r="H415" s="7" t="s">
        <v>125</v>
      </c>
      <c r="I415" s="7" t="s">
        <v>1053</v>
      </c>
      <c r="J415" s="7" t="s">
        <v>52</v>
      </c>
      <c r="K415" s="7" t="s">
        <v>121</v>
      </c>
      <c r="L415" s="12" t="str">
        <f>HYPERLINK("http://slimages.macys.com/is/image/MCY/10007760 ")</f>
        <v xml:space="preserve">http://slimages.macys.com/is/image/MCY/10007760 </v>
      </c>
      <c r="M415" s="13"/>
    </row>
    <row r="416" spans="1:13" ht="60" x14ac:dyDescent="0.25">
      <c r="A416" s="11" t="s">
        <v>1138</v>
      </c>
      <c r="B416" s="7" t="s">
        <v>1139</v>
      </c>
      <c r="C416" s="8">
        <v>4</v>
      </c>
      <c r="D416" s="9">
        <v>16.989999999999998</v>
      </c>
      <c r="E416" s="8">
        <v>48055</v>
      </c>
      <c r="F416" s="7" t="s">
        <v>167</v>
      </c>
      <c r="G416" s="11" t="s">
        <v>1140</v>
      </c>
      <c r="H416" s="7" t="s">
        <v>125</v>
      </c>
      <c r="I416" s="7" t="s">
        <v>1053</v>
      </c>
      <c r="J416" s="7" t="s">
        <v>52</v>
      </c>
      <c r="K416" s="7" t="s">
        <v>121</v>
      </c>
      <c r="L416" s="12" t="str">
        <f>HYPERLINK("http://slimages.macys.com/is/image/MCY/10010133 ")</f>
        <v xml:space="preserve">http://slimages.macys.com/is/image/MCY/10010133 </v>
      </c>
      <c r="M416" s="13"/>
    </row>
    <row r="417" spans="1:13" ht="60" x14ac:dyDescent="0.25">
      <c r="A417" s="11" t="s">
        <v>1180</v>
      </c>
      <c r="B417" s="7" t="s">
        <v>1181</v>
      </c>
      <c r="C417" s="8">
        <v>1</v>
      </c>
      <c r="D417" s="9">
        <v>12.99</v>
      </c>
      <c r="E417" s="8" t="s">
        <v>1182</v>
      </c>
      <c r="F417" s="7" t="s">
        <v>108</v>
      </c>
      <c r="G417" s="11" t="s">
        <v>797</v>
      </c>
      <c r="H417" s="7" t="s">
        <v>720</v>
      </c>
      <c r="I417" s="7" t="s">
        <v>109</v>
      </c>
      <c r="J417" s="7" t="s">
        <v>52</v>
      </c>
      <c r="K417" s="7" t="s">
        <v>229</v>
      </c>
      <c r="L417" s="12" t="str">
        <f>HYPERLINK("http://slimages.macys.com/is/image/MCY/11963684 ")</f>
        <v xml:space="preserve">http://slimages.macys.com/is/image/MCY/11963684 </v>
      </c>
      <c r="M417" s="13"/>
    </row>
    <row r="418" spans="1:13" ht="60" x14ac:dyDescent="0.25">
      <c r="A418" s="11" t="s">
        <v>818</v>
      </c>
      <c r="B418" s="7" t="s">
        <v>819</v>
      </c>
      <c r="C418" s="8">
        <v>1</v>
      </c>
      <c r="D418" s="9">
        <v>29.99</v>
      </c>
      <c r="E418" s="8">
        <v>21350338</v>
      </c>
      <c r="F418" s="7" t="s">
        <v>751</v>
      </c>
      <c r="G418" s="11"/>
      <c r="H418" s="7" t="s">
        <v>369</v>
      </c>
      <c r="I418" s="7" t="s">
        <v>109</v>
      </c>
      <c r="J418" s="7" t="s">
        <v>52</v>
      </c>
      <c r="K418" s="7"/>
      <c r="L418" s="12" t="str">
        <f>HYPERLINK("http://slimages.macys.com/is/image/MCY/15389781 ")</f>
        <v xml:space="preserve">http://slimages.macys.com/is/image/MCY/15389781 </v>
      </c>
      <c r="M418" s="13"/>
    </row>
    <row r="419" spans="1:13" ht="60" x14ac:dyDescent="0.25">
      <c r="A419" s="11" t="s">
        <v>1090</v>
      </c>
      <c r="B419" s="7" t="s">
        <v>1091</v>
      </c>
      <c r="C419" s="8">
        <v>2</v>
      </c>
      <c r="D419" s="9">
        <v>24.99</v>
      </c>
      <c r="E419" s="8" t="s">
        <v>1092</v>
      </c>
      <c r="F419" s="7" t="s">
        <v>625</v>
      </c>
      <c r="G419" s="11"/>
      <c r="H419" s="7" t="s">
        <v>427</v>
      </c>
      <c r="I419" s="7" t="s">
        <v>109</v>
      </c>
      <c r="J419" s="7" t="s">
        <v>52</v>
      </c>
      <c r="K419" s="7" t="s">
        <v>121</v>
      </c>
      <c r="L419" s="12" t="str">
        <f>HYPERLINK("http://slimages.macys.com/is/image/MCY/12455540 ")</f>
        <v xml:space="preserve">http://slimages.macys.com/is/image/MCY/12455540 </v>
      </c>
      <c r="M419" s="13"/>
    </row>
    <row r="420" spans="1:13" ht="60" x14ac:dyDescent="0.25">
      <c r="A420" s="11" t="s">
        <v>111</v>
      </c>
      <c r="B420" s="7" t="s">
        <v>112</v>
      </c>
      <c r="C420" s="8">
        <v>1</v>
      </c>
      <c r="D420" s="9">
        <v>179.99</v>
      </c>
      <c r="E420" s="8">
        <v>22329422</v>
      </c>
      <c r="F420" s="7" t="s">
        <v>108</v>
      </c>
      <c r="G420" s="11"/>
      <c r="H420" s="7" t="s">
        <v>88</v>
      </c>
      <c r="I420" s="7" t="s">
        <v>109</v>
      </c>
      <c r="J420" s="7" t="s">
        <v>52</v>
      </c>
      <c r="K420" s="7" t="s">
        <v>110</v>
      </c>
      <c r="L420" s="12" t="str">
        <f>HYPERLINK("http://slimages.macys.com/is/image/MCY/16688410 ")</f>
        <v xml:space="preserve">http://slimages.macys.com/is/image/MCY/16688410 </v>
      </c>
      <c r="M420" s="13"/>
    </row>
    <row r="421" spans="1:13" ht="60" x14ac:dyDescent="0.25">
      <c r="A421" s="11" t="s">
        <v>106</v>
      </c>
      <c r="B421" s="7" t="s">
        <v>107</v>
      </c>
      <c r="C421" s="8">
        <v>2</v>
      </c>
      <c r="D421" s="9">
        <v>179.99</v>
      </c>
      <c r="E421" s="8">
        <v>22329322</v>
      </c>
      <c r="F421" s="7" t="s">
        <v>108</v>
      </c>
      <c r="G421" s="11"/>
      <c r="H421" s="7" t="s">
        <v>88</v>
      </c>
      <c r="I421" s="7" t="s">
        <v>109</v>
      </c>
      <c r="J421" s="7" t="s">
        <v>52</v>
      </c>
      <c r="K421" s="7" t="s">
        <v>110</v>
      </c>
      <c r="L421" s="12" t="str">
        <f>HYPERLINK("http://slimages.macys.com/is/image/MCY/16688389 ")</f>
        <v xml:space="preserve">http://slimages.macys.com/is/image/MCY/16688389 </v>
      </c>
      <c r="M421" s="13"/>
    </row>
    <row r="422" spans="1:13" ht="60" x14ac:dyDescent="0.25">
      <c r="A422" s="11" t="s">
        <v>538</v>
      </c>
      <c r="B422" s="7" t="s">
        <v>539</v>
      </c>
      <c r="C422" s="8">
        <v>1</v>
      </c>
      <c r="D422" s="9">
        <v>59.99</v>
      </c>
      <c r="E422" s="8">
        <v>21478122</v>
      </c>
      <c r="F422" s="7"/>
      <c r="G422" s="11"/>
      <c r="H422" s="7" t="s">
        <v>88</v>
      </c>
      <c r="I422" s="7" t="s">
        <v>109</v>
      </c>
      <c r="J422" s="7" t="s">
        <v>52</v>
      </c>
      <c r="K422" s="7" t="s">
        <v>121</v>
      </c>
      <c r="L422" s="12" t="str">
        <f>HYPERLINK("http://slimages.macys.com/is/image/MCY/15396834 ")</f>
        <v xml:space="preserve">http://slimages.macys.com/is/image/MCY/15396834 </v>
      </c>
      <c r="M422" s="13"/>
    </row>
    <row r="423" spans="1:13" ht="60" x14ac:dyDescent="0.25">
      <c r="A423" s="11" t="s">
        <v>710</v>
      </c>
      <c r="B423" s="7" t="s">
        <v>711</v>
      </c>
      <c r="C423" s="8">
        <v>1</v>
      </c>
      <c r="D423" s="9">
        <v>59.99</v>
      </c>
      <c r="E423" s="8">
        <v>21478022</v>
      </c>
      <c r="F423" s="7"/>
      <c r="G423" s="11"/>
      <c r="H423" s="7" t="s">
        <v>88</v>
      </c>
      <c r="I423" s="7" t="s">
        <v>109</v>
      </c>
      <c r="J423" s="7" t="s">
        <v>52</v>
      </c>
      <c r="K423" s="7" t="s">
        <v>121</v>
      </c>
      <c r="L423" s="12" t="str">
        <f>HYPERLINK("http://slimages.macys.com/is/image/MCY/15396834 ")</f>
        <v xml:space="preserve">http://slimages.macys.com/is/image/MCY/15396834 </v>
      </c>
      <c r="M423" s="13"/>
    </row>
    <row r="424" spans="1:13" ht="60" x14ac:dyDescent="0.25">
      <c r="A424" s="11" t="s">
        <v>1387</v>
      </c>
      <c r="B424" s="7" t="s">
        <v>1388</v>
      </c>
      <c r="C424" s="8">
        <v>1</v>
      </c>
      <c r="D424" s="9">
        <v>1.99</v>
      </c>
      <c r="E424" s="8" t="s">
        <v>1389</v>
      </c>
      <c r="F424" s="7" t="s">
        <v>87</v>
      </c>
      <c r="G424" s="11" t="s">
        <v>1316</v>
      </c>
      <c r="H424" s="7" t="s">
        <v>720</v>
      </c>
      <c r="I424" s="7" t="s">
        <v>109</v>
      </c>
      <c r="J424" s="7" t="s">
        <v>52</v>
      </c>
      <c r="K424" s="7"/>
      <c r="L424" s="12" t="str">
        <f>HYPERLINK("http://slimages.macys.com/is/image/MCY/13909776 ")</f>
        <v xml:space="preserve">http://slimages.macys.com/is/image/MCY/13909776 </v>
      </c>
      <c r="M424" s="13"/>
    </row>
    <row r="425" spans="1:13" ht="60" x14ac:dyDescent="0.25">
      <c r="A425" s="11" t="s">
        <v>684</v>
      </c>
      <c r="B425" s="7" t="s">
        <v>685</v>
      </c>
      <c r="C425" s="8">
        <v>5</v>
      </c>
      <c r="D425" s="9">
        <v>34.99</v>
      </c>
      <c r="E425" s="8" t="s">
        <v>686</v>
      </c>
      <c r="F425" s="7" t="s">
        <v>87</v>
      </c>
      <c r="G425" s="11"/>
      <c r="H425" s="7" t="s">
        <v>125</v>
      </c>
      <c r="I425" s="7" t="s">
        <v>80</v>
      </c>
      <c r="J425" s="7" t="s">
        <v>52</v>
      </c>
      <c r="K425" s="7" t="s">
        <v>121</v>
      </c>
      <c r="L425" s="12" t="str">
        <f>HYPERLINK("http://slimages.macys.com/is/image/MCY/9310270 ")</f>
        <v xml:space="preserve">http://slimages.macys.com/is/image/MCY/9310270 </v>
      </c>
      <c r="M425" s="13"/>
    </row>
    <row r="426" spans="1:13" ht="60" x14ac:dyDescent="0.25">
      <c r="A426" s="11" t="s">
        <v>475</v>
      </c>
      <c r="B426" s="7" t="s">
        <v>476</v>
      </c>
      <c r="C426" s="8">
        <v>1</v>
      </c>
      <c r="D426" s="9">
        <v>44.99</v>
      </c>
      <c r="E426" s="8" t="s">
        <v>477</v>
      </c>
      <c r="F426" s="7" t="s">
        <v>478</v>
      </c>
      <c r="G426" s="11"/>
      <c r="H426" s="7" t="s">
        <v>125</v>
      </c>
      <c r="I426" s="7" t="s">
        <v>80</v>
      </c>
      <c r="J426" s="7" t="s">
        <v>52</v>
      </c>
      <c r="K426" s="7"/>
      <c r="L426" s="12" t="str">
        <f>HYPERLINK("http://slimages.macys.com/is/image/MCY/9310362 ")</f>
        <v xml:space="preserve">http://slimages.macys.com/is/image/MCY/9310362 </v>
      </c>
      <c r="M426" s="13"/>
    </row>
    <row r="427" spans="1:13" ht="60" x14ac:dyDescent="0.25">
      <c r="A427" s="11" t="s">
        <v>670</v>
      </c>
      <c r="B427" s="7" t="s">
        <v>671</v>
      </c>
      <c r="C427" s="8">
        <v>2</v>
      </c>
      <c r="D427" s="9">
        <v>35.99</v>
      </c>
      <c r="E427" s="8" t="s">
        <v>672</v>
      </c>
      <c r="F427" s="7" t="s">
        <v>108</v>
      </c>
      <c r="G427" s="11"/>
      <c r="H427" s="7" t="s">
        <v>125</v>
      </c>
      <c r="I427" s="7" t="s">
        <v>80</v>
      </c>
      <c r="J427" s="7" t="s">
        <v>52</v>
      </c>
      <c r="K427" s="7" t="s">
        <v>673</v>
      </c>
      <c r="L427" s="12" t="str">
        <f>HYPERLINK("http://slimages.macys.com/is/image/MCY/9310361 ")</f>
        <v xml:space="preserve">http://slimages.macys.com/is/image/MCY/9310361 </v>
      </c>
      <c r="M427" s="13"/>
    </row>
    <row r="428" spans="1:13" ht="60" x14ac:dyDescent="0.25">
      <c r="A428" s="11" t="s">
        <v>872</v>
      </c>
      <c r="B428" s="7" t="s">
        <v>873</v>
      </c>
      <c r="C428" s="8">
        <v>2</v>
      </c>
      <c r="D428" s="9">
        <v>21.99</v>
      </c>
      <c r="E428" s="8" t="s">
        <v>874</v>
      </c>
      <c r="F428" s="7" t="s">
        <v>108</v>
      </c>
      <c r="G428" s="11"/>
      <c r="H428" s="7" t="s">
        <v>125</v>
      </c>
      <c r="I428" s="7" t="s">
        <v>80</v>
      </c>
      <c r="J428" s="7"/>
      <c r="K428" s="7"/>
      <c r="L428" s="12" t="str">
        <f>HYPERLINK("http://slimages.macys.com/is/image/MCY/18116751 ")</f>
        <v xml:space="preserve">http://slimages.macys.com/is/image/MCY/18116751 </v>
      </c>
      <c r="M428" s="13"/>
    </row>
    <row r="429" spans="1:13" ht="60" x14ac:dyDescent="0.25">
      <c r="A429" s="11" t="s">
        <v>321</v>
      </c>
      <c r="B429" s="7" t="s">
        <v>322</v>
      </c>
      <c r="C429" s="8">
        <v>1</v>
      </c>
      <c r="D429" s="9">
        <v>64.989999999999995</v>
      </c>
      <c r="E429" s="8" t="s">
        <v>323</v>
      </c>
      <c r="F429" s="7" t="s">
        <v>49</v>
      </c>
      <c r="G429" s="11"/>
      <c r="H429" s="7" t="s">
        <v>125</v>
      </c>
      <c r="I429" s="7" t="s">
        <v>240</v>
      </c>
      <c r="J429" s="7" t="s">
        <v>52</v>
      </c>
      <c r="K429" s="7" t="s">
        <v>59</v>
      </c>
      <c r="L429" s="12" t="str">
        <f>HYPERLINK("http://slimages.macys.com/is/image/MCY/11633300 ")</f>
        <v xml:space="preserve">http://slimages.macys.com/is/image/MCY/11633300 </v>
      </c>
      <c r="M429" s="13"/>
    </row>
    <row r="430" spans="1:13" ht="60" x14ac:dyDescent="0.25">
      <c r="A430" s="11" t="s">
        <v>374</v>
      </c>
      <c r="B430" s="7" t="s">
        <v>375</v>
      </c>
      <c r="C430" s="8">
        <v>1</v>
      </c>
      <c r="D430" s="9">
        <v>59.99</v>
      </c>
      <c r="E430" s="8" t="s">
        <v>376</v>
      </c>
      <c r="F430" s="7" t="s">
        <v>49</v>
      </c>
      <c r="G430" s="11" t="s">
        <v>377</v>
      </c>
      <c r="H430" s="7" t="s">
        <v>125</v>
      </c>
      <c r="I430" s="7" t="s">
        <v>240</v>
      </c>
      <c r="J430" s="7" t="s">
        <v>52</v>
      </c>
      <c r="K430" s="7" t="s">
        <v>378</v>
      </c>
      <c r="L430" s="12" t="str">
        <f>HYPERLINK("http://slimages.macys.com/is/image/MCY/14805393 ")</f>
        <v xml:space="preserve">http://slimages.macys.com/is/image/MCY/14805393 </v>
      </c>
      <c r="M430" s="13"/>
    </row>
    <row r="431" spans="1:13" ht="60" x14ac:dyDescent="0.25">
      <c r="A431" s="11" t="s">
        <v>237</v>
      </c>
      <c r="B431" s="7" t="s">
        <v>238</v>
      </c>
      <c r="C431" s="8">
        <v>1</v>
      </c>
      <c r="D431" s="9">
        <v>79.989999999999995</v>
      </c>
      <c r="E431" s="8" t="s">
        <v>239</v>
      </c>
      <c r="F431" s="7" t="s">
        <v>49</v>
      </c>
      <c r="G431" s="11"/>
      <c r="H431" s="7" t="s">
        <v>125</v>
      </c>
      <c r="I431" s="7" t="s">
        <v>240</v>
      </c>
      <c r="J431" s="7" t="s">
        <v>52</v>
      </c>
      <c r="K431" s="7" t="s">
        <v>241</v>
      </c>
      <c r="L431" s="12" t="str">
        <f>HYPERLINK("http://slimages.macys.com/is/image/MCY/1200670 ")</f>
        <v xml:space="preserve">http://slimages.macys.com/is/image/MCY/1200670 </v>
      </c>
      <c r="M431" s="13"/>
    </row>
    <row r="432" spans="1:13" ht="60" x14ac:dyDescent="0.25">
      <c r="A432" s="11" t="s">
        <v>580</v>
      </c>
      <c r="B432" s="7" t="s">
        <v>581</v>
      </c>
      <c r="C432" s="8">
        <v>2</v>
      </c>
      <c r="D432" s="9">
        <v>39.99</v>
      </c>
      <c r="E432" s="8">
        <v>170327246</v>
      </c>
      <c r="F432" s="7" t="s">
        <v>403</v>
      </c>
      <c r="G432" s="11"/>
      <c r="H432" s="7" t="s">
        <v>125</v>
      </c>
      <c r="I432" s="7" t="s">
        <v>240</v>
      </c>
      <c r="J432" s="7" t="s">
        <v>52</v>
      </c>
      <c r="K432" s="7" t="s">
        <v>121</v>
      </c>
      <c r="L432" s="12" t="str">
        <f>HYPERLINK("http://slimages.macys.com/is/image/MCY/3465217 ")</f>
        <v xml:space="preserve">http://slimages.macys.com/is/image/MCY/3465217 </v>
      </c>
      <c r="M432" s="13"/>
    </row>
    <row r="433" spans="1:13" ht="60" x14ac:dyDescent="0.25">
      <c r="A433" s="11" t="s">
        <v>401</v>
      </c>
      <c r="B433" s="7" t="s">
        <v>402</v>
      </c>
      <c r="C433" s="8">
        <v>1</v>
      </c>
      <c r="D433" s="9">
        <v>39.99</v>
      </c>
      <c r="E433" s="8">
        <v>170327246</v>
      </c>
      <c r="F433" s="7" t="s">
        <v>403</v>
      </c>
      <c r="G433" s="11"/>
      <c r="H433" s="7" t="s">
        <v>125</v>
      </c>
      <c r="I433" s="7" t="s">
        <v>240</v>
      </c>
      <c r="J433" s="7" t="s">
        <v>52</v>
      </c>
      <c r="K433" s="7" t="s">
        <v>121</v>
      </c>
      <c r="L433" s="12" t="str">
        <f>HYPERLINK("http://slimages.macys.com/is/image/MCY/277634 ")</f>
        <v xml:space="preserve">http://slimages.macys.com/is/image/MCY/277634 </v>
      </c>
      <c r="M433" s="13"/>
    </row>
    <row r="434" spans="1:13" ht="60" x14ac:dyDescent="0.25">
      <c r="A434" s="11" t="s">
        <v>707</v>
      </c>
      <c r="B434" s="7" t="s">
        <v>708</v>
      </c>
      <c r="C434" s="8">
        <v>1</v>
      </c>
      <c r="D434" s="9">
        <v>33.99</v>
      </c>
      <c r="E434" s="8" t="s">
        <v>709</v>
      </c>
      <c r="F434" s="7" t="s">
        <v>332</v>
      </c>
      <c r="G434" s="11"/>
      <c r="H434" s="7" t="s">
        <v>125</v>
      </c>
      <c r="I434" s="7" t="s">
        <v>240</v>
      </c>
      <c r="J434" s="7" t="s">
        <v>52</v>
      </c>
      <c r="K434" s="7" t="s">
        <v>328</v>
      </c>
      <c r="L434" s="12" t="str">
        <f>HYPERLINK("http://slimages.macys.com/is/image/MCY/3444603 ")</f>
        <v xml:space="preserve">http://slimages.macys.com/is/image/MCY/3444603 </v>
      </c>
      <c r="M434" s="13"/>
    </row>
    <row r="435" spans="1:13" ht="60" x14ac:dyDescent="0.25">
      <c r="A435" s="11" t="s">
        <v>611</v>
      </c>
      <c r="B435" s="7" t="s">
        <v>612</v>
      </c>
      <c r="C435" s="8">
        <v>1</v>
      </c>
      <c r="D435" s="9">
        <v>37.99</v>
      </c>
      <c r="E435" s="8" t="s">
        <v>613</v>
      </c>
      <c r="F435" s="7" t="s">
        <v>512</v>
      </c>
      <c r="G435" s="11"/>
      <c r="H435" s="7" t="s">
        <v>125</v>
      </c>
      <c r="I435" s="7" t="s">
        <v>240</v>
      </c>
      <c r="J435" s="7" t="s">
        <v>52</v>
      </c>
      <c r="K435" s="7" t="s">
        <v>328</v>
      </c>
      <c r="L435" s="12" t="str">
        <f>HYPERLINK("http://slimages.macys.com/is/image/MCY/3444599 ")</f>
        <v xml:space="preserve">http://slimages.macys.com/is/image/MCY/3444599 </v>
      </c>
      <c r="M435" s="13"/>
    </row>
    <row r="436" spans="1:13" ht="60" x14ac:dyDescent="0.25">
      <c r="A436" s="11" t="s">
        <v>509</v>
      </c>
      <c r="B436" s="7" t="s">
        <v>510</v>
      </c>
      <c r="C436" s="8">
        <v>1</v>
      </c>
      <c r="D436" s="9">
        <v>42.99</v>
      </c>
      <c r="E436" s="8" t="s">
        <v>511</v>
      </c>
      <c r="F436" s="7" t="s">
        <v>512</v>
      </c>
      <c r="G436" s="11"/>
      <c r="H436" s="7" t="s">
        <v>125</v>
      </c>
      <c r="I436" s="7" t="s">
        <v>240</v>
      </c>
      <c r="J436" s="7" t="s">
        <v>52</v>
      </c>
      <c r="K436" s="7" t="s">
        <v>328</v>
      </c>
      <c r="L436" s="12" t="str">
        <f>HYPERLINK("http://slimages.macys.com/is/image/MCY/11399449 ")</f>
        <v xml:space="preserve">http://slimages.macys.com/is/image/MCY/11399449 </v>
      </c>
      <c r="M436" s="13"/>
    </row>
    <row r="437" spans="1:13" ht="60" x14ac:dyDescent="0.25">
      <c r="A437" s="11" t="s">
        <v>661</v>
      </c>
      <c r="B437" s="7" t="s">
        <v>662</v>
      </c>
      <c r="C437" s="8">
        <v>1</v>
      </c>
      <c r="D437" s="9">
        <v>35.99</v>
      </c>
      <c r="E437" s="8" t="s">
        <v>663</v>
      </c>
      <c r="F437" s="7" t="s">
        <v>332</v>
      </c>
      <c r="G437" s="11"/>
      <c r="H437" s="7" t="s">
        <v>125</v>
      </c>
      <c r="I437" s="7" t="s">
        <v>240</v>
      </c>
      <c r="J437" s="7" t="s">
        <v>52</v>
      </c>
      <c r="K437" s="7" t="s">
        <v>328</v>
      </c>
      <c r="L437" s="12" t="str">
        <f>HYPERLINK("http://slimages.macys.com/is/image/MCY/11399447 ")</f>
        <v xml:space="preserve">http://slimages.macys.com/is/image/MCY/11399447 </v>
      </c>
      <c r="M437" s="13"/>
    </row>
    <row r="438" spans="1:13" ht="60" x14ac:dyDescent="0.25">
      <c r="A438" s="11" t="s">
        <v>1170</v>
      </c>
      <c r="B438" s="7" t="s">
        <v>1171</v>
      </c>
      <c r="C438" s="8">
        <v>4</v>
      </c>
      <c r="D438" s="9">
        <v>14.99</v>
      </c>
      <c r="E438" s="8" t="s">
        <v>1172</v>
      </c>
      <c r="F438" s="7" t="s">
        <v>43</v>
      </c>
      <c r="G438" s="11"/>
      <c r="H438" s="7" t="s">
        <v>125</v>
      </c>
      <c r="I438" s="7" t="s">
        <v>240</v>
      </c>
      <c r="J438" s="7" t="s">
        <v>52</v>
      </c>
      <c r="K438" s="7" t="s">
        <v>328</v>
      </c>
      <c r="L438" s="12" t="str">
        <f>HYPERLINK("http://slimages.macys.com/is/image/MCY/531278 ")</f>
        <v xml:space="preserve">http://slimages.macys.com/is/image/MCY/531278 </v>
      </c>
      <c r="M438" s="13"/>
    </row>
    <row r="439" spans="1:13" ht="60" x14ac:dyDescent="0.25">
      <c r="A439" s="11" t="s">
        <v>352</v>
      </c>
      <c r="B439" s="7" t="s">
        <v>353</v>
      </c>
      <c r="C439" s="8">
        <v>1</v>
      </c>
      <c r="D439" s="9">
        <v>63.99</v>
      </c>
      <c r="E439" s="8" t="s">
        <v>354</v>
      </c>
      <c r="F439" s="7" t="s">
        <v>93</v>
      </c>
      <c r="G439" s="11"/>
      <c r="H439" s="7" t="s">
        <v>125</v>
      </c>
      <c r="I439" s="7" t="s">
        <v>240</v>
      </c>
      <c r="J439" s="7" t="s">
        <v>52</v>
      </c>
      <c r="K439" s="7" t="s">
        <v>121</v>
      </c>
      <c r="L439" s="12" t="str">
        <f>HYPERLINK("http://slimages.macys.com/is/image/MCY/3036631 ")</f>
        <v xml:space="preserve">http://slimages.macys.com/is/image/MCY/3036631 </v>
      </c>
      <c r="M439" s="13"/>
    </row>
    <row r="440" spans="1:13" ht="60" x14ac:dyDescent="0.25">
      <c r="A440" s="11" t="s">
        <v>335</v>
      </c>
      <c r="B440" s="7" t="s">
        <v>336</v>
      </c>
      <c r="C440" s="8">
        <v>1</v>
      </c>
      <c r="D440" s="9">
        <v>64.989999999999995</v>
      </c>
      <c r="E440" s="8" t="s">
        <v>337</v>
      </c>
      <c r="F440" s="7" t="s">
        <v>167</v>
      </c>
      <c r="G440" s="11"/>
      <c r="H440" s="7" t="s">
        <v>125</v>
      </c>
      <c r="I440" s="7" t="s">
        <v>240</v>
      </c>
      <c r="J440" s="7" t="s">
        <v>52</v>
      </c>
      <c r="K440" s="7" t="s">
        <v>328</v>
      </c>
      <c r="L440" s="12" t="str">
        <f>HYPERLINK("http://slimages.macys.com/is/image/MCY/11399536 ")</f>
        <v xml:space="preserve">http://slimages.macys.com/is/image/MCY/11399536 </v>
      </c>
      <c r="M440" s="13"/>
    </row>
    <row r="441" spans="1:13" ht="60" x14ac:dyDescent="0.25">
      <c r="A441" s="11" t="s">
        <v>362</v>
      </c>
      <c r="B441" s="7" t="s">
        <v>363</v>
      </c>
      <c r="C441" s="8">
        <v>1</v>
      </c>
      <c r="D441" s="9">
        <v>103.99</v>
      </c>
      <c r="E441" s="8" t="s">
        <v>364</v>
      </c>
      <c r="F441" s="7" t="s">
        <v>108</v>
      </c>
      <c r="G441" s="11"/>
      <c r="H441" s="7" t="s">
        <v>88</v>
      </c>
      <c r="I441" s="7" t="s">
        <v>365</v>
      </c>
      <c r="J441" s="7" t="s">
        <v>52</v>
      </c>
      <c r="K441" s="7" t="s">
        <v>121</v>
      </c>
      <c r="L441" s="12" t="str">
        <f>HYPERLINK("http://slimages.macys.com/is/image/MCY/14735511 ")</f>
        <v xml:space="preserve">http://slimages.macys.com/is/image/MCY/14735511 </v>
      </c>
      <c r="M441" s="13"/>
    </row>
    <row r="442" spans="1:13" ht="60" x14ac:dyDescent="0.25">
      <c r="A442" s="11" t="s">
        <v>920</v>
      </c>
      <c r="B442" s="7" t="s">
        <v>921</v>
      </c>
      <c r="C442" s="8">
        <v>2</v>
      </c>
      <c r="D442" s="9">
        <v>36.99</v>
      </c>
      <c r="E442" s="8" t="s">
        <v>922</v>
      </c>
      <c r="F442" s="7" t="s">
        <v>317</v>
      </c>
      <c r="G442" s="11" t="s">
        <v>269</v>
      </c>
      <c r="H442" s="7" t="s">
        <v>125</v>
      </c>
      <c r="I442" s="7" t="s">
        <v>813</v>
      </c>
      <c r="J442" s="7" t="s">
        <v>52</v>
      </c>
      <c r="K442" s="7" t="s">
        <v>110</v>
      </c>
      <c r="L442" s="12" t="str">
        <f>HYPERLINK("http://slimages.macys.com/is/image/MCY/11293294 ")</f>
        <v xml:space="preserve">http://slimages.macys.com/is/image/MCY/11293294 </v>
      </c>
      <c r="M442" s="13"/>
    </row>
    <row r="443" spans="1:13" ht="60" x14ac:dyDescent="0.25">
      <c r="A443" s="11" t="s">
        <v>911</v>
      </c>
      <c r="B443" s="7" t="s">
        <v>912</v>
      </c>
      <c r="C443" s="8">
        <v>1</v>
      </c>
      <c r="D443" s="9">
        <v>27.99</v>
      </c>
      <c r="E443" s="8" t="s">
        <v>913</v>
      </c>
      <c r="F443" s="7" t="s">
        <v>171</v>
      </c>
      <c r="G443" s="11"/>
      <c r="H443" s="7" t="s">
        <v>125</v>
      </c>
      <c r="I443" s="7" t="s">
        <v>813</v>
      </c>
      <c r="J443" s="7" t="s">
        <v>52</v>
      </c>
      <c r="K443" s="7" t="s">
        <v>110</v>
      </c>
      <c r="L443" s="12" t="str">
        <f>HYPERLINK("http://slimages.macys.com/is/image/MCY/10670509 ")</f>
        <v xml:space="preserve">http://slimages.macys.com/is/image/MCY/10670509 </v>
      </c>
      <c r="M443" s="13"/>
    </row>
    <row r="444" spans="1:13" ht="60" x14ac:dyDescent="0.25">
      <c r="A444" s="11" t="s">
        <v>917</v>
      </c>
      <c r="B444" s="7" t="s">
        <v>918</v>
      </c>
      <c r="C444" s="8">
        <v>1</v>
      </c>
      <c r="D444" s="9">
        <v>36.99</v>
      </c>
      <c r="E444" s="8" t="s">
        <v>919</v>
      </c>
      <c r="F444" s="7" t="s">
        <v>43</v>
      </c>
      <c r="G444" s="11"/>
      <c r="H444" s="7" t="s">
        <v>125</v>
      </c>
      <c r="I444" s="7" t="s">
        <v>813</v>
      </c>
      <c r="J444" s="7" t="s">
        <v>52</v>
      </c>
      <c r="K444" s="7" t="s">
        <v>110</v>
      </c>
      <c r="L444" s="12" t="str">
        <f>HYPERLINK("http://slimages.macys.com/is/image/MCY/10670509 ")</f>
        <v xml:space="preserve">http://slimages.macys.com/is/image/MCY/10670509 </v>
      </c>
      <c r="M444" s="13"/>
    </row>
    <row r="445" spans="1:13" ht="60" x14ac:dyDescent="0.25">
      <c r="A445" s="11" t="s">
        <v>810</v>
      </c>
      <c r="B445" s="7" t="s">
        <v>811</v>
      </c>
      <c r="C445" s="8">
        <v>1</v>
      </c>
      <c r="D445" s="9">
        <v>44.99</v>
      </c>
      <c r="E445" s="8" t="s">
        <v>812</v>
      </c>
      <c r="F445" s="7" t="s">
        <v>93</v>
      </c>
      <c r="G445" s="11" t="s">
        <v>432</v>
      </c>
      <c r="H445" s="7" t="s">
        <v>125</v>
      </c>
      <c r="I445" s="7" t="s">
        <v>813</v>
      </c>
      <c r="J445" s="7" t="s">
        <v>52</v>
      </c>
      <c r="K445" s="7" t="s">
        <v>110</v>
      </c>
      <c r="L445" s="12" t="str">
        <f>HYPERLINK("http://slimages.macys.com/is/image/MCY/10670507 ")</f>
        <v xml:space="preserve">http://slimages.macys.com/is/image/MCY/10670507 </v>
      </c>
      <c r="M445" s="13"/>
    </row>
    <row r="446" spans="1:13" ht="60" x14ac:dyDescent="0.25">
      <c r="A446" s="11" t="s">
        <v>914</v>
      </c>
      <c r="B446" s="7" t="s">
        <v>915</v>
      </c>
      <c r="C446" s="8">
        <v>3</v>
      </c>
      <c r="D446" s="9">
        <v>36.99</v>
      </c>
      <c r="E446" s="8" t="s">
        <v>916</v>
      </c>
      <c r="F446" s="7"/>
      <c r="G446" s="11" t="s">
        <v>432</v>
      </c>
      <c r="H446" s="7" t="s">
        <v>125</v>
      </c>
      <c r="I446" s="7" t="s">
        <v>813</v>
      </c>
      <c r="J446" s="7" t="s">
        <v>52</v>
      </c>
      <c r="K446" s="7" t="s">
        <v>110</v>
      </c>
      <c r="L446" s="12" t="str">
        <f>HYPERLINK("http://slimages.macys.com/is/image/MCY/11293243 ")</f>
        <v xml:space="preserve">http://slimages.macys.com/is/image/MCY/11293243 </v>
      </c>
      <c r="M446" s="13"/>
    </row>
    <row r="447" spans="1:13" ht="60" x14ac:dyDescent="0.25">
      <c r="A447" s="11" t="s">
        <v>914</v>
      </c>
      <c r="B447" s="7" t="s">
        <v>915</v>
      </c>
      <c r="C447" s="8">
        <v>3</v>
      </c>
      <c r="D447" s="9">
        <v>36.99</v>
      </c>
      <c r="E447" s="8" t="s">
        <v>916</v>
      </c>
      <c r="F447" s="7"/>
      <c r="G447" s="11" t="s">
        <v>432</v>
      </c>
      <c r="H447" s="7" t="s">
        <v>125</v>
      </c>
      <c r="I447" s="7" t="s">
        <v>813</v>
      </c>
      <c r="J447" s="7" t="s">
        <v>52</v>
      </c>
      <c r="K447" s="7" t="s">
        <v>110</v>
      </c>
      <c r="L447" s="12" t="str">
        <f>HYPERLINK("http://slimages.macys.com/is/image/MCY/11293243 ")</f>
        <v xml:space="preserve">http://slimages.macys.com/is/image/MCY/11293243 </v>
      </c>
      <c r="M447" s="13"/>
    </row>
    <row r="448" spans="1:13" ht="60" x14ac:dyDescent="0.25">
      <c r="A448" s="11" t="s">
        <v>958</v>
      </c>
      <c r="B448" s="7" t="s">
        <v>959</v>
      </c>
      <c r="C448" s="8">
        <v>1</v>
      </c>
      <c r="D448" s="9">
        <v>34.99</v>
      </c>
      <c r="E448" s="8" t="s">
        <v>960</v>
      </c>
      <c r="F448" s="7" t="s">
        <v>93</v>
      </c>
      <c r="G448" s="11" t="s">
        <v>269</v>
      </c>
      <c r="H448" s="7" t="s">
        <v>125</v>
      </c>
      <c r="I448" s="7" t="s">
        <v>813</v>
      </c>
      <c r="J448" s="7" t="s">
        <v>52</v>
      </c>
      <c r="K448" s="7" t="s">
        <v>121</v>
      </c>
      <c r="L448" s="12" t="str">
        <f>HYPERLINK("http://slimages.macys.com/is/image/MCY/10685329 ")</f>
        <v xml:space="preserve">http://slimages.macys.com/is/image/MCY/10685329 </v>
      </c>
      <c r="M448" s="13"/>
    </row>
    <row r="449" spans="1:13" ht="60" x14ac:dyDescent="0.25">
      <c r="A449" s="11" t="s">
        <v>429</v>
      </c>
      <c r="B449" s="7" t="s">
        <v>430</v>
      </c>
      <c r="C449" s="8">
        <v>2</v>
      </c>
      <c r="D449" s="9">
        <v>59.99</v>
      </c>
      <c r="E449" s="8" t="s">
        <v>431</v>
      </c>
      <c r="F449" s="7" t="s">
        <v>108</v>
      </c>
      <c r="G449" s="11" t="s">
        <v>432</v>
      </c>
      <c r="H449" s="7" t="s">
        <v>98</v>
      </c>
      <c r="I449" s="7" t="s">
        <v>433</v>
      </c>
      <c r="J449" s="7" t="s">
        <v>52</v>
      </c>
      <c r="K449" s="7" t="s">
        <v>121</v>
      </c>
      <c r="L449" s="12" t="str">
        <f>HYPERLINK("http://slimages.macys.com/is/image/MCY/2913091 ")</f>
        <v xml:space="preserve">http://slimages.macys.com/is/image/MCY/2913091 </v>
      </c>
      <c r="M449" s="13"/>
    </row>
    <row r="450" spans="1:13" ht="60" x14ac:dyDescent="0.25">
      <c r="A450" s="11" t="s">
        <v>1017</v>
      </c>
      <c r="B450" s="7" t="s">
        <v>1018</v>
      </c>
      <c r="C450" s="8">
        <v>1</v>
      </c>
      <c r="D450" s="9">
        <v>29.99</v>
      </c>
      <c r="E450" s="8" t="s">
        <v>1019</v>
      </c>
      <c r="F450" s="7" t="s">
        <v>217</v>
      </c>
      <c r="G450" s="11"/>
      <c r="H450" s="7" t="s">
        <v>98</v>
      </c>
      <c r="I450" s="7" t="s">
        <v>433</v>
      </c>
      <c r="J450" s="7" t="s">
        <v>52</v>
      </c>
      <c r="K450" s="7" t="s">
        <v>1020</v>
      </c>
      <c r="L450" s="12" t="str">
        <f>HYPERLINK("http://slimages.macys.com/is/image/MCY/8095477 ")</f>
        <v xml:space="preserve">http://slimages.macys.com/is/image/MCY/8095477 </v>
      </c>
      <c r="M450" s="13"/>
    </row>
    <row r="451" spans="1:13" ht="60" x14ac:dyDescent="0.25">
      <c r="A451" s="11" t="s">
        <v>1288</v>
      </c>
      <c r="B451" s="7" t="s">
        <v>1289</v>
      </c>
      <c r="C451" s="8">
        <v>1</v>
      </c>
      <c r="D451" s="9">
        <v>17.989999999999998</v>
      </c>
      <c r="E451" s="8" t="s">
        <v>1290</v>
      </c>
      <c r="F451" s="7" t="s">
        <v>108</v>
      </c>
      <c r="G451" s="11"/>
      <c r="H451" s="7" t="s">
        <v>125</v>
      </c>
      <c r="I451" s="7" t="s">
        <v>578</v>
      </c>
      <c r="J451" s="7" t="s">
        <v>52</v>
      </c>
      <c r="K451" s="7" t="s">
        <v>121</v>
      </c>
      <c r="L451" s="12" t="str">
        <f>HYPERLINK("http://slimages.macys.com/is/image/MCY/12712427 ")</f>
        <v xml:space="preserve">http://slimages.macys.com/is/image/MCY/12712427 </v>
      </c>
      <c r="M451" s="13"/>
    </row>
    <row r="452" spans="1:13" ht="60" x14ac:dyDescent="0.25">
      <c r="A452" s="11" t="s">
        <v>289</v>
      </c>
      <c r="B452" s="7" t="s">
        <v>290</v>
      </c>
      <c r="C452" s="8">
        <v>1</v>
      </c>
      <c r="D452" s="9">
        <v>101.99</v>
      </c>
      <c r="E452" s="8" t="s">
        <v>291</v>
      </c>
      <c r="F452" s="7" t="s">
        <v>171</v>
      </c>
      <c r="G452" s="11"/>
      <c r="H452" s="7" t="s">
        <v>125</v>
      </c>
      <c r="I452" s="7" t="s">
        <v>292</v>
      </c>
      <c r="J452" s="7" t="s">
        <v>52</v>
      </c>
      <c r="K452" s="7" t="s">
        <v>293</v>
      </c>
      <c r="L452" s="12" t="str">
        <f>HYPERLINK("http://slimages.macys.com/is/image/MCY/10616677 ")</f>
        <v xml:space="preserve">http://slimages.macys.com/is/image/MCY/10616677 </v>
      </c>
      <c r="M452" s="13"/>
    </row>
    <row r="453" spans="1:13" ht="60" x14ac:dyDescent="0.25">
      <c r="A453" s="11" t="s">
        <v>694</v>
      </c>
      <c r="B453" s="7" t="s">
        <v>695</v>
      </c>
      <c r="C453" s="8">
        <v>1</v>
      </c>
      <c r="D453" s="9">
        <v>49.99</v>
      </c>
      <c r="E453" s="8" t="s">
        <v>696</v>
      </c>
      <c r="F453" s="7" t="s">
        <v>108</v>
      </c>
      <c r="G453" s="11"/>
      <c r="H453" s="7" t="s">
        <v>88</v>
      </c>
      <c r="I453" s="7" t="s">
        <v>203</v>
      </c>
      <c r="J453" s="7"/>
      <c r="K453" s="7"/>
      <c r="L453" s="12" t="str">
        <f>HYPERLINK("http://slimages.macys.com/is/image/MCY/17425646 ")</f>
        <v xml:space="preserve">http://slimages.macys.com/is/image/MCY/17425646 </v>
      </c>
      <c r="M453" s="13"/>
    </row>
    <row r="454" spans="1:13" ht="24" x14ac:dyDescent="0.25">
      <c r="A454" s="11" t="s">
        <v>1414</v>
      </c>
      <c r="B454" s="7" t="s">
        <v>1415</v>
      </c>
      <c r="C454" s="8">
        <v>1</v>
      </c>
      <c r="D454" s="9">
        <v>79.989999999999995</v>
      </c>
      <c r="E454" s="8" t="s">
        <v>1416</v>
      </c>
      <c r="F454" s="7" t="s">
        <v>43</v>
      </c>
      <c r="G454" s="11"/>
      <c r="H454" s="7" t="s">
        <v>88</v>
      </c>
      <c r="I454" s="7" t="s">
        <v>203</v>
      </c>
      <c r="J454" s="7"/>
      <c r="K454" s="7"/>
      <c r="L454" s="12"/>
      <c r="M454" s="13"/>
    </row>
    <row r="455" spans="1:13" ht="60" x14ac:dyDescent="0.25">
      <c r="A455" s="11" t="s">
        <v>344</v>
      </c>
      <c r="B455" s="7" t="s">
        <v>345</v>
      </c>
      <c r="C455" s="8">
        <v>1</v>
      </c>
      <c r="D455" s="9">
        <v>89.99</v>
      </c>
      <c r="E455" s="8" t="s">
        <v>346</v>
      </c>
      <c r="F455" s="7"/>
      <c r="G455" s="11"/>
      <c r="H455" s="7" t="s">
        <v>88</v>
      </c>
      <c r="I455" s="7" t="s">
        <v>203</v>
      </c>
      <c r="J455" s="7" t="s">
        <v>52</v>
      </c>
      <c r="K455" s="7" t="s">
        <v>121</v>
      </c>
      <c r="L455" s="12" t="str">
        <f>HYPERLINK("http://slimages.macys.com/is/image/MCY/8962717 ")</f>
        <v xml:space="preserve">http://slimages.macys.com/is/image/MCY/8962717 </v>
      </c>
      <c r="M455" s="13"/>
    </row>
    <row r="456" spans="1:13" ht="60" x14ac:dyDescent="0.25">
      <c r="A456" s="11" t="s">
        <v>412</v>
      </c>
      <c r="B456" s="7" t="s">
        <v>413</v>
      </c>
      <c r="C456" s="8">
        <v>1</v>
      </c>
      <c r="D456" s="9">
        <v>89.99</v>
      </c>
      <c r="E456" s="8" t="s">
        <v>414</v>
      </c>
      <c r="F456" s="7"/>
      <c r="G456" s="11"/>
      <c r="H456" s="7" t="s">
        <v>88</v>
      </c>
      <c r="I456" s="7" t="s">
        <v>80</v>
      </c>
      <c r="J456" s="7"/>
      <c r="K456" s="7"/>
      <c r="L456" s="12" t="str">
        <f>HYPERLINK("http://slimages.macys.com/is/image/MCY/17594484 ")</f>
        <v xml:space="preserve">http://slimages.macys.com/is/image/MCY/17594484 </v>
      </c>
      <c r="M456" s="13"/>
    </row>
    <row r="457" spans="1:13" ht="60" x14ac:dyDescent="0.25">
      <c r="A457" s="11" t="s">
        <v>359</v>
      </c>
      <c r="B457" s="7" t="s">
        <v>360</v>
      </c>
      <c r="C457" s="8">
        <v>1</v>
      </c>
      <c r="D457" s="9">
        <v>89.99</v>
      </c>
      <c r="E457" s="8" t="s">
        <v>361</v>
      </c>
      <c r="F457" s="7" t="s">
        <v>313</v>
      </c>
      <c r="G457" s="11"/>
      <c r="H457" s="7" t="s">
        <v>88</v>
      </c>
      <c r="I457" s="7" t="s">
        <v>80</v>
      </c>
      <c r="J457" s="7"/>
      <c r="K457" s="7"/>
      <c r="L457" s="12" t="str">
        <f>HYPERLINK("http://slimages.macys.com/is/image/MCY/17594577 ")</f>
        <v xml:space="preserve">http://slimages.macys.com/is/image/MCY/17594577 </v>
      </c>
      <c r="M457" s="13"/>
    </row>
    <row r="458" spans="1:13" ht="60" x14ac:dyDescent="0.25">
      <c r="A458" s="11" t="s">
        <v>310</v>
      </c>
      <c r="B458" s="7" t="s">
        <v>311</v>
      </c>
      <c r="C458" s="8">
        <v>1</v>
      </c>
      <c r="D458" s="9">
        <v>99.99</v>
      </c>
      <c r="E458" s="8" t="s">
        <v>312</v>
      </c>
      <c r="F458" s="7" t="s">
        <v>313</v>
      </c>
      <c r="G458" s="11"/>
      <c r="H458" s="7" t="s">
        <v>88</v>
      </c>
      <c r="I458" s="7" t="s">
        <v>80</v>
      </c>
      <c r="J458" s="7"/>
      <c r="K458" s="7"/>
      <c r="L458" s="12" t="str">
        <f>HYPERLINK("http://slimages.macys.com/is/image/MCY/17594596 ")</f>
        <v xml:space="preserve">http://slimages.macys.com/is/image/MCY/17594596 </v>
      </c>
      <c r="M458" s="13"/>
    </row>
    <row r="459" spans="1:13" ht="24" x14ac:dyDescent="0.25">
      <c r="A459" s="11" t="s">
        <v>1431</v>
      </c>
      <c r="B459" s="7" t="s">
        <v>1432</v>
      </c>
      <c r="C459" s="8">
        <v>1</v>
      </c>
      <c r="D459" s="9">
        <v>29.99</v>
      </c>
      <c r="E459" s="8" t="s">
        <v>1433</v>
      </c>
      <c r="F459" s="7" t="s">
        <v>249</v>
      </c>
      <c r="G459" s="11"/>
      <c r="H459" s="7" t="s">
        <v>125</v>
      </c>
      <c r="I459" s="7" t="s">
        <v>80</v>
      </c>
      <c r="J459" s="7"/>
      <c r="K459" s="7"/>
      <c r="L459" s="12"/>
      <c r="M459" s="13"/>
    </row>
    <row r="460" spans="1:13" ht="60" x14ac:dyDescent="0.25">
      <c r="A460" s="11" t="s">
        <v>619</v>
      </c>
      <c r="B460" s="7" t="s">
        <v>620</v>
      </c>
      <c r="C460" s="8">
        <v>2</v>
      </c>
      <c r="D460" s="9">
        <v>36.99</v>
      </c>
      <c r="E460" s="8" t="s">
        <v>621</v>
      </c>
      <c r="F460" s="7" t="s">
        <v>217</v>
      </c>
      <c r="G460" s="11"/>
      <c r="H460" s="7" t="s">
        <v>125</v>
      </c>
      <c r="I460" s="7" t="s">
        <v>80</v>
      </c>
      <c r="J460" s="7" t="s">
        <v>52</v>
      </c>
      <c r="K460" s="7" t="s">
        <v>622</v>
      </c>
      <c r="L460" s="12" t="str">
        <f>HYPERLINK("http://slimages.macys.com/is/image/MCY/9961972 ")</f>
        <v xml:space="preserve">http://slimages.macys.com/is/image/MCY/9961972 </v>
      </c>
      <c r="M460" s="13"/>
    </row>
    <row r="461" spans="1:13" ht="180" x14ac:dyDescent="0.25">
      <c r="A461" s="11" t="s">
        <v>214</v>
      </c>
      <c r="B461" s="7" t="s">
        <v>215</v>
      </c>
      <c r="C461" s="8">
        <v>1</v>
      </c>
      <c r="D461" s="9">
        <v>94.99</v>
      </c>
      <c r="E461" s="8" t="s">
        <v>216</v>
      </c>
      <c r="F461" s="7" t="s">
        <v>217</v>
      </c>
      <c r="G461" s="11"/>
      <c r="H461" s="7" t="s">
        <v>88</v>
      </c>
      <c r="I461" s="7" t="s">
        <v>80</v>
      </c>
      <c r="J461" s="7" t="s">
        <v>52</v>
      </c>
      <c r="K461" s="7" t="s">
        <v>218</v>
      </c>
      <c r="L461" s="12" t="str">
        <f>HYPERLINK("http://slimages.macys.com/is/image/MCY/9500083 ")</f>
        <v xml:space="preserve">http://slimages.macys.com/is/image/MCY/9500083 </v>
      </c>
      <c r="M461" s="13"/>
    </row>
    <row r="462" spans="1:13" ht="60" x14ac:dyDescent="0.25">
      <c r="A462" s="11" t="s">
        <v>1003</v>
      </c>
      <c r="B462" s="7" t="s">
        <v>1004</v>
      </c>
      <c r="C462" s="8">
        <v>3</v>
      </c>
      <c r="D462" s="9">
        <v>38.99</v>
      </c>
      <c r="E462" s="8" t="s">
        <v>1005</v>
      </c>
      <c r="F462" s="7" t="s">
        <v>49</v>
      </c>
      <c r="G462" s="11"/>
      <c r="H462" s="7" t="s">
        <v>125</v>
      </c>
      <c r="I462" s="7" t="s">
        <v>1006</v>
      </c>
      <c r="J462" s="7" t="s">
        <v>52</v>
      </c>
      <c r="K462" s="7" t="s">
        <v>241</v>
      </c>
      <c r="L462" s="12" t="str">
        <f>HYPERLINK("http://slimages.macys.com/is/image/MCY/12224722 ")</f>
        <v xml:space="preserve">http://slimages.macys.com/is/image/MCY/12224722 </v>
      </c>
      <c r="M462" s="13"/>
    </row>
    <row r="463" spans="1:13" ht="60" x14ac:dyDescent="0.25">
      <c r="A463" s="11" t="s">
        <v>481</v>
      </c>
      <c r="B463" s="7" t="s">
        <v>482</v>
      </c>
      <c r="C463" s="8">
        <v>1</v>
      </c>
      <c r="D463" s="9">
        <v>54.99</v>
      </c>
      <c r="E463" s="8" t="s">
        <v>483</v>
      </c>
      <c r="F463" s="7" t="s">
        <v>93</v>
      </c>
      <c r="G463" s="11"/>
      <c r="H463" s="7" t="s">
        <v>427</v>
      </c>
      <c r="I463" s="7" t="s">
        <v>484</v>
      </c>
      <c r="J463" s="7" t="s">
        <v>52</v>
      </c>
      <c r="K463" s="7" t="s">
        <v>485</v>
      </c>
      <c r="L463" s="12" t="str">
        <f>HYPERLINK("http://slimages.macys.com/is/image/MCY/13765140 ")</f>
        <v xml:space="preserve">http://slimages.macys.com/is/image/MCY/13765140 </v>
      </c>
      <c r="M463" s="13"/>
    </row>
    <row r="464" spans="1:13" ht="60" x14ac:dyDescent="0.25">
      <c r="A464" s="11" t="s">
        <v>517</v>
      </c>
      <c r="B464" s="7" t="s">
        <v>518</v>
      </c>
      <c r="C464" s="8">
        <v>1</v>
      </c>
      <c r="D464" s="9">
        <v>59.99</v>
      </c>
      <c r="E464" s="8" t="s">
        <v>519</v>
      </c>
      <c r="F464" s="7" t="s">
        <v>302</v>
      </c>
      <c r="G464" s="11"/>
      <c r="H464" s="7" t="s">
        <v>79</v>
      </c>
      <c r="I464" s="7" t="s">
        <v>520</v>
      </c>
      <c r="J464" s="7" t="s">
        <v>52</v>
      </c>
      <c r="K464" s="7" t="s">
        <v>121</v>
      </c>
      <c r="L464" s="12" t="str">
        <f>HYPERLINK("http://slimages.macys.com/is/image/MCY/8559884 ")</f>
        <v xml:space="preserve">http://slimages.macys.com/is/image/MCY/8559884 </v>
      </c>
      <c r="M464" s="13"/>
    </row>
    <row r="465" spans="1:13" ht="60" x14ac:dyDescent="0.25">
      <c r="A465" s="11" t="s">
        <v>1336</v>
      </c>
      <c r="B465" s="7" t="s">
        <v>1337</v>
      </c>
      <c r="C465" s="8">
        <v>1</v>
      </c>
      <c r="D465" s="9">
        <v>9.99</v>
      </c>
      <c r="E465" s="8" t="s">
        <v>1338</v>
      </c>
      <c r="F465" s="7" t="s">
        <v>93</v>
      </c>
      <c r="G465" s="11"/>
      <c r="H465" s="7" t="s">
        <v>125</v>
      </c>
      <c r="I465" s="7" t="s">
        <v>1006</v>
      </c>
      <c r="J465" s="7"/>
      <c r="K465" s="7"/>
      <c r="L465" s="12" t="str">
        <f>HYPERLINK("http://slimages.macys.com/is/image/MCY/17995886 ")</f>
        <v xml:space="preserve">http://slimages.macys.com/is/image/MCY/17995886 </v>
      </c>
      <c r="M465" s="13"/>
    </row>
    <row r="466" spans="1:13" ht="60" x14ac:dyDescent="0.25">
      <c r="A466" s="11" t="s">
        <v>1333</v>
      </c>
      <c r="B466" s="7" t="s">
        <v>1334</v>
      </c>
      <c r="C466" s="8">
        <v>5</v>
      </c>
      <c r="D466" s="9">
        <v>9.99</v>
      </c>
      <c r="E466" s="8" t="s">
        <v>1335</v>
      </c>
      <c r="F466" s="7" t="s">
        <v>49</v>
      </c>
      <c r="G466" s="11"/>
      <c r="H466" s="7" t="s">
        <v>125</v>
      </c>
      <c r="I466" s="7" t="s">
        <v>1006</v>
      </c>
      <c r="J466" s="7"/>
      <c r="K466" s="7"/>
      <c r="L466" s="12" t="str">
        <f>HYPERLINK("http://slimages.macys.com/is/image/MCY/17995889 ")</f>
        <v xml:space="preserve">http://slimages.macys.com/is/image/MCY/17995889 </v>
      </c>
      <c r="M466" s="13"/>
    </row>
    <row r="467" spans="1:13" ht="60" x14ac:dyDescent="0.25">
      <c r="A467" s="11" t="s">
        <v>1333</v>
      </c>
      <c r="B467" s="7" t="s">
        <v>1334</v>
      </c>
      <c r="C467" s="8">
        <v>3</v>
      </c>
      <c r="D467" s="9">
        <v>9.99</v>
      </c>
      <c r="E467" s="8" t="s">
        <v>1335</v>
      </c>
      <c r="F467" s="7" t="s">
        <v>49</v>
      </c>
      <c r="G467" s="11"/>
      <c r="H467" s="7" t="s">
        <v>125</v>
      </c>
      <c r="I467" s="7" t="s">
        <v>1006</v>
      </c>
      <c r="J467" s="7"/>
      <c r="K467" s="7"/>
      <c r="L467" s="12" t="str">
        <f>HYPERLINK("http://slimages.macys.com/is/image/MCY/17995889 ")</f>
        <v xml:space="preserve">http://slimages.macys.com/is/image/MCY/17995889 </v>
      </c>
      <c r="M467" s="13"/>
    </row>
    <row r="468" spans="1:13" ht="72" x14ac:dyDescent="0.25">
      <c r="A468" s="11" t="s">
        <v>60</v>
      </c>
      <c r="B468" s="7" t="s">
        <v>61</v>
      </c>
      <c r="C468" s="8">
        <v>2</v>
      </c>
      <c r="D468" s="9">
        <v>485</v>
      </c>
      <c r="E468" s="8" t="s">
        <v>62</v>
      </c>
      <c r="F468" s="7" t="s">
        <v>63</v>
      </c>
      <c r="G468" s="11"/>
      <c r="H468" s="7" t="s">
        <v>64</v>
      </c>
      <c r="I468" s="7" t="s">
        <v>65</v>
      </c>
      <c r="J468" s="7" t="s">
        <v>58</v>
      </c>
      <c r="K468" s="7" t="s">
        <v>66</v>
      </c>
      <c r="L468" s="12" t="str">
        <f>HYPERLINK("http://images.bloomingdales.com/is/image/BLM/10463338 ")</f>
        <v xml:space="preserve">http://images.bloomingdales.com/is/image/BLM/10463338 </v>
      </c>
      <c r="M468" s="13"/>
    </row>
    <row r="469" spans="1:13" ht="72" x14ac:dyDescent="0.25">
      <c r="A469" s="11" t="s">
        <v>73</v>
      </c>
      <c r="B469" s="7" t="s">
        <v>74</v>
      </c>
      <c r="C469" s="8">
        <v>1</v>
      </c>
      <c r="D469" s="9">
        <v>440</v>
      </c>
      <c r="E469" s="8" t="s">
        <v>75</v>
      </c>
      <c r="F469" s="7" t="s">
        <v>63</v>
      </c>
      <c r="G469" s="11"/>
      <c r="H469" s="7" t="s">
        <v>64</v>
      </c>
      <c r="I469" s="7" t="s">
        <v>65</v>
      </c>
      <c r="J469" s="7" t="s">
        <v>58</v>
      </c>
      <c r="K469" s="7" t="s">
        <v>66</v>
      </c>
      <c r="L469" s="12" t="str">
        <f>HYPERLINK("http://images.bloomingdales.com/is/image/BLM/10463338 ")</f>
        <v xml:space="preserve">http://images.bloomingdales.com/is/image/BLM/10463338 </v>
      </c>
      <c r="M469" s="13"/>
    </row>
    <row r="470" spans="1:13" ht="48" x14ac:dyDescent="0.25">
      <c r="A470" s="11" t="s">
        <v>1428</v>
      </c>
      <c r="B470" s="7" t="s">
        <v>1429</v>
      </c>
      <c r="C470" s="8">
        <v>1</v>
      </c>
      <c r="D470" s="9">
        <v>34.99</v>
      </c>
      <c r="E470" s="8" t="s">
        <v>1430</v>
      </c>
      <c r="F470" s="7" t="s">
        <v>108</v>
      </c>
      <c r="G470" s="11"/>
      <c r="H470" s="7" t="s">
        <v>125</v>
      </c>
      <c r="I470" s="7" t="s">
        <v>578</v>
      </c>
      <c r="J470" s="7"/>
      <c r="K470" s="7"/>
      <c r="L470" s="12"/>
      <c r="M470" s="13"/>
    </row>
    <row r="471" spans="1:13" ht="60" x14ac:dyDescent="0.25">
      <c r="A471" s="11" t="s">
        <v>633</v>
      </c>
      <c r="B471" s="7" t="s">
        <v>634</v>
      </c>
      <c r="C471" s="8">
        <v>2</v>
      </c>
      <c r="D471" s="9">
        <v>34.99</v>
      </c>
      <c r="E471" s="8" t="s">
        <v>635</v>
      </c>
      <c r="F471" s="7" t="s">
        <v>93</v>
      </c>
      <c r="G471" s="11"/>
      <c r="H471" s="7" t="s">
        <v>125</v>
      </c>
      <c r="I471" s="7" t="s">
        <v>578</v>
      </c>
      <c r="J471" s="7"/>
      <c r="K471" s="7"/>
      <c r="L471" s="12" t="str">
        <f>HYPERLINK("http://slimages.macys.com/is/image/MCY/18678677 ")</f>
        <v xml:space="preserve">http://slimages.macys.com/is/image/MCY/18678677 </v>
      </c>
      <c r="M471" s="13"/>
    </row>
    <row r="472" spans="1:13" ht="60" x14ac:dyDescent="0.25">
      <c r="A472" s="11" t="s">
        <v>318</v>
      </c>
      <c r="B472" s="7" t="s">
        <v>319</v>
      </c>
      <c r="C472" s="8">
        <v>1</v>
      </c>
      <c r="D472" s="9">
        <v>150</v>
      </c>
      <c r="E472" s="8" t="s">
        <v>320</v>
      </c>
      <c r="F472" s="7" t="s">
        <v>103</v>
      </c>
      <c r="G472" s="11"/>
      <c r="H472" s="7" t="s">
        <v>98</v>
      </c>
      <c r="I472" s="7" t="s">
        <v>146</v>
      </c>
      <c r="J472" s="7"/>
      <c r="K472" s="7"/>
      <c r="L472" s="12" t="str">
        <f>HYPERLINK("http://slimages.macys.com/is/image/MCY/17563901 ")</f>
        <v xml:space="preserve">http://slimages.macys.com/is/image/MCY/17563901 </v>
      </c>
      <c r="M472" s="13"/>
    </row>
    <row r="473" spans="1:13" ht="60" x14ac:dyDescent="0.25">
      <c r="A473" s="11" t="s">
        <v>173</v>
      </c>
      <c r="B473" s="7" t="s">
        <v>174</v>
      </c>
      <c r="C473" s="8">
        <v>1</v>
      </c>
      <c r="D473" s="9">
        <v>284</v>
      </c>
      <c r="E473" s="8" t="s">
        <v>175</v>
      </c>
      <c r="F473" s="7" t="s">
        <v>103</v>
      </c>
      <c r="G473" s="11"/>
      <c r="H473" s="7" t="s">
        <v>98</v>
      </c>
      <c r="I473" s="7" t="s">
        <v>146</v>
      </c>
      <c r="J473" s="7"/>
      <c r="K473" s="7"/>
      <c r="L473" s="12" t="str">
        <f>HYPERLINK("http://slimages.macys.com/is/image/MCY/17563882 ")</f>
        <v xml:space="preserve">http://slimages.macys.com/is/image/MCY/17563882 </v>
      </c>
      <c r="M473" s="13"/>
    </row>
    <row r="474" spans="1:13" ht="60" x14ac:dyDescent="0.25">
      <c r="A474" s="11" t="s">
        <v>164</v>
      </c>
      <c r="B474" s="7" t="s">
        <v>165</v>
      </c>
      <c r="C474" s="8">
        <v>1</v>
      </c>
      <c r="D474" s="9">
        <v>224</v>
      </c>
      <c r="E474" s="8" t="s">
        <v>166</v>
      </c>
      <c r="F474" s="7" t="s">
        <v>167</v>
      </c>
      <c r="G474" s="11"/>
      <c r="H474" s="7" t="s">
        <v>98</v>
      </c>
      <c r="I474" s="7" t="s">
        <v>146</v>
      </c>
      <c r="J474" s="7" t="s">
        <v>52</v>
      </c>
      <c r="K474" s="7" t="s">
        <v>59</v>
      </c>
      <c r="L474" s="12" t="str">
        <f>HYPERLINK("http://slimages.macys.com/is/image/MCY/14798147 ")</f>
        <v xml:space="preserve">http://slimages.macys.com/is/image/MCY/14798147 </v>
      </c>
      <c r="M474" s="13"/>
    </row>
    <row r="475" spans="1:13" ht="60" x14ac:dyDescent="0.25">
      <c r="A475" s="11" t="s">
        <v>645</v>
      </c>
      <c r="B475" s="7" t="s">
        <v>646</v>
      </c>
      <c r="C475" s="8">
        <v>1</v>
      </c>
      <c r="D475" s="9">
        <v>39.99</v>
      </c>
      <c r="E475" s="8" t="s">
        <v>647</v>
      </c>
      <c r="F475" s="7" t="s">
        <v>43</v>
      </c>
      <c r="G475" s="11" t="s">
        <v>432</v>
      </c>
      <c r="H475" s="7" t="s">
        <v>125</v>
      </c>
      <c r="I475" s="7" t="s">
        <v>648</v>
      </c>
      <c r="J475" s="7" t="s">
        <v>52</v>
      </c>
      <c r="K475" s="7"/>
      <c r="L475" s="12" t="str">
        <f>HYPERLINK("http://slimages.macys.com/is/image/MCY/16103273 ")</f>
        <v xml:space="preserve">http://slimages.macys.com/is/image/MCY/16103273 </v>
      </c>
      <c r="M475" s="13"/>
    </row>
    <row r="476" spans="1:13" ht="108" x14ac:dyDescent="0.25">
      <c r="A476" s="11" t="s">
        <v>176</v>
      </c>
      <c r="B476" s="7" t="s">
        <v>177</v>
      </c>
      <c r="C476" s="8">
        <v>1</v>
      </c>
      <c r="D476" s="9">
        <v>149.99</v>
      </c>
      <c r="E476" s="8" t="s">
        <v>178</v>
      </c>
      <c r="F476" s="7" t="s">
        <v>179</v>
      </c>
      <c r="G476" s="11"/>
      <c r="H476" s="7" t="s">
        <v>50</v>
      </c>
      <c r="I476" s="7" t="s">
        <v>180</v>
      </c>
      <c r="J476" s="7" t="s">
        <v>52</v>
      </c>
      <c r="K476" s="7" t="s">
        <v>181</v>
      </c>
      <c r="L476" s="12" t="str">
        <f>HYPERLINK("http://slimages.macys.com/is/image/MCY/14426606 ")</f>
        <v xml:space="preserve">http://slimages.macys.com/is/image/MCY/14426606 </v>
      </c>
      <c r="M476" s="13"/>
    </row>
    <row r="477" spans="1:13" ht="60" x14ac:dyDescent="0.25">
      <c r="A477" s="11" t="s">
        <v>1307</v>
      </c>
      <c r="B477" s="7" t="s">
        <v>1308</v>
      </c>
      <c r="C477" s="8">
        <v>2</v>
      </c>
      <c r="D477" s="9">
        <v>15.99</v>
      </c>
      <c r="E477" s="8" t="s">
        <v>1309</v>
      </c>
      <c r="F477" s="7" t="s">
        <v>108</v>
      </c>
      <c r="G477" s="11"/>
      <c r="H477" s="7" t="s">
        <v>125</v>
      </c>
      <c r="I477" s="7" t="s">
        <v>578</v>
      </c>
      <c r="J477" s="7" t="s">
        <v>52</v>
      </c>
      <c r="K477" s="7" t="s">
        <v>121</v>
      </c>
      <c r="L477" s="12" t="str">
        <f>HYPERLINK("http://slimages.macys.com/is/image/MCY/12712491 ")</f>
        <v xml:space="preserve">http://slimages.macys.com/is/image/MCY/12712491 </v>
      </c>
      <c r="M477" s="13"/>
    </row>
    <row r="478" spans="1:13" ht="60" x14ac:dyDescent="0.25">
      <c r="A478" s="11" t="s">
        <v>1039</v>
      </c>
      <c r="B478" s="7" t="s">
        <v>1040</v>
      </c>
      <c r="C478" s="8">
        <v>3</v>
      </c>
      <c r="D478" s="9">
        <v>36.99</v>
      </c>
      <c r="E478" s="8" t="s">
        <v>1041</v>
      </c>
      <c r="F478" s="7" t="s">
        <v>167</v>
      </c>
      <c r="G478" s="11"/>
      <c r="H478" s="7" t="s">
        <v>125</v>
      </c>
      <c r="I478" s="7" t="s">
        <v>578</v>
      </c>
      <c r="J478" s="7" t="s">
        <v>52</v>
      </c>
      <c r="K478" s="7" t="s">
        <v>59</v>
      </c>
      <c r="L478" s="12" t="str">
        <f>HYPERLINK("http://slimages.macys.com/is/image/MCY/10429948 ")</f>
        <v xml:space="preserve">http://slimages.macys.com/is/image/MCY/10429948 </v>
      </c>
      <c r="M478" s="13"/>
    </row>
    <row r="479" spans="1:13" ht="60" x14ac:dyDescent="0.25">
      <c r="A479" s="11" t="s">
        <v>798</v>
      </c>
      <c r="B479" s="7" t="s">
        <v>799</v>
      </c>
      <c r="C479" s="8">
        <v>1</v>
      </c>
      <c r="D479" s="9">
        <v>49.99</v>
      </c>
      <c r="E479" s="8">
        <v>100109460</v>
      </c>
      <c r="F479" s="7" t="s">
        <v>249</v>
      </c>
      <c r="G479" s="11" t="s">
        <v>800</v>
      </c>
      <c r="H479" s="7" t="s">
        <v>801</v>
      </c>
      <c r="I479" s="7" t="s">
        <v>802</v>
      </c>
      <c r="J479" s="7"/>
      <c r="K479" s="7"/>
      <c r="L479" s="12" t="str">
        <f>HYPERLINK("http://slimages.macys.com/is/image/MCY/17662287 ")</f>
        <v xml:space="preserve">http://slimages.macys.com/is/image/MCY/17662287 </v>
      </c>
      <c r="M479" s="13"/>
    </row>
    <row r="480" spans="1:13" ht="60" x14ac:dyDescent="0.25">
      <c r="A480" s="11" t="s">
        <v>1141</v>
      </c>
      <c r="B480" s="7" t="s">
        <v>1142</v>
      </c>
      <c r="C480" s="8">
        <v>1</v>
      </c>
      <c r="D480" s="9">
        <v>39.99</v>
      </c>
      <c r="E480" s="8">
        <v>100063134</v>
      </c>
      <c r="F480" s="7" t="s">
        <v>167</v>
      </c>
      <c r="G480" s="11" t="s">
        <v>727</v>
      </c>
      <c r="H480" s="7" t="s">
        <v>801</v>
      </c>
      <c r="I480" s="7" t="s">
        <v>802</v>
      </c>
      <c r="J480" s="7" t="s">
        <v>52</v>
      </c>
      <c r="K480" s="7" t="s">
        <v>1143</v>
      </c>
      <c r="L480" s="12" t="str">
        <f>HYPERLINK("http://slimages.macys.com/is/image/MCY/14021245 ")</f>
        <v xml:space="preserve">http://slimages.macys.com/is/image/MCY/14021245 </v>
      </c>
      <c r="M480" s="13"/>
    </row>
    <row r="481" spans="1:13" ht="60" x14ac:dyDescent="0.25">
      <c r="A481" s="11" t="s">
        <v>1144</v>
      </c>
      <c r="B481" s="7" t="s">
        <v>1145</v>
      </c>
      <c r="C481" s="8">
        <v>1</v>
      </c>
      <c r="D481" s="9">
        <v>39.99</v>
      </c>
      <c r="E481" s="8">
        <v>100063134</v>
      </c>
      <c r="F481" s="7" t="s">
        <v>1146</v>
      </c>
      <c r="G481" s="11" t="s">
        <v>727</v>
      </c>
      <c r="H481" s="7" t="s">
        <v>801</v>
      </c>
      <c r="I481" s="7" t="s">
        <v>802</v>
      </c>
      <c r="J481" s="7" t="s">
        <v>52</v>
      </c>
      <c r="K481" s="7" t="s">
        <v>1143</v>
      </c>
      <c r="L481" s="12" t="str">
        <f>HYPERLINK("http://slimages.macys.com/is/image/MCY/14021245 ")</f>
        <v xml:space="preserve">http://slimages.macys.com/is/image/MCY/14021245 </v>
      </c>
      <c r="M481" s="13"/>
    </row>
    <row r="482" spans="1:13" ht="60" x14ac:dyDescent="0.25">
      <c r="A482" s="11" t="s">
        <v>41</v>
      </c>
      <c r="B482" s="7" t="s">
        <v>42</v>
      </c>
      <c r="C482" s="8">
        <v>1</v>
      </c>
      <c r="D482" s="9">
        <v>250</v>
      </c>
      <c r="E482" s="8">
        <v>61203</v>
      </c>
      <c r="F482" s="7" t="s">
        <v>43</v>
      </c>
      <c r="G482" s="11"/>
      <c r="H482" s="7" t="s">
        <v>33</v>
      </c>
      <c r="I482" s="7" t="s">
        <v>44</v>
      </c>
      <c r="J482" s="7" t="s">
        <v>35</v>
      </c>
      <c r="K482" s="7" t="s">
        <v>45</v>
      </c>
      <c r="L482" s="12" t="str">
        <f>HYPERLINK("http://images.bloomingdales.com/is/image/BLM/9574363 ")</f>
        <v xml:space="preserve">http://images.bloomingdales.com/is/image/BLM/9574363 </v>
      </c>
      <c r="M482" s="13"/>
    </row>
  </sheetData>
  <sortState ref="A19:N482">
    <sortCondition ref="B18"/>
  </sortState>
  <pageMargins left="0.5" right="0.5" top="0.25" bottom="0.25" header="0.3" footer="0.3"/>
  <pageSetup scale="65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13581441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Buyer</dc:creator>
  <cp:lastModifiedBy>office</cp:lastModifiedBy>
  <dcterms:created xsi:type="dcterms:W3CDTF">2021-11-03T18:16:49Z</dcterms:created>
  <dcterms:modified xsi:type="dcterms:W3CDTF">2021-11-13T13:25:38Z</dcterms:modified>
</cp:coreProperties>
</file>